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ufarm-my.sharepoint.com/personal/todd_birchler_nufarm_com/Documents/Documents/New folder/EOP 2023/"/>
    </mc:Choice>
  </mc:AlternateContent>
  <xr:revisionPtr revIDLastSave="0" documentId="8_{3B37F323-0B33-408E-AFDD-559F55DF3E4C}" xr6:coauthVersionLast="47" xr6:coauthVersionMax="47" xr10:uidLastSave="{00000000-0000-0000-0000-000000000000}"/>
  <workbookProtection workbookAlgorithmName="SHA-512" workbookHashValue="IFGNaEWCHUegmuPEUViu/vXJG77WsyO3ebHeovPL+iXMh03hsrGRlaG/uBxTx7EoE/piE8qz1fJS9BUT/0exlw==" workbookSaltValue="ofvDXo48fWIvWGDu798hsQ==" workbookSpinCount="100000" lockStructure="1"/>
  <bookViews>
    <workbookView xWindow="-108" yWindow="-108" windowWidth="23256" windowHeight="12576" xr2:uid="{A5EAFC43-CEC8-440B-A385-E3CB34227E7E}"/>
  </bookViews>
  <sheets>
    <sheet name="Nufarm Edge Rewards Calculator" sheetId="1" r:id="rId1"/>
    <sheet name="Rebate Reference Table" sheetId="2" state="hidden" r:id="rId2"/>
  </sheets>
  <definedNames>
    <definedName name="_xlnm._FilterDatabase" localSheetId="0" hidden="1">'Nufarm Edge Rewards Calculator'!$D$9:$O$82</definedName>
    <definedName name="_xlnm._FilterDatabase" localSheetId="1" hidden="1">'Rebate Reference Table'!#REF!</definedName>
    <definedName name="_xlnm.Print_Area" localSheetId="0">'Nufarm Edge Rewards Calculator'!$C$1:$N$86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" i="1" l="1"/>
  <c r="N71" i="1"/>
  <c r="N62" i="1"/>
  <c r="N64" i="1"/>
  <c r="N63" i="1"/>
  <c r="N58" i="1" l="1"/>
  <c r="N57" i="1"/>
  <c r="N56" i="1"/>
  <c r="N55" i="1"/>
  <c r="N54" i="1"/>
  <c r="N53" i="1"/>
  <c r="N52" i="1"/>
  <c r="N51" i="1"/>
  <c r="N50" i="1"/>
  <c r="N49" i="1"/>
  <c r="N48" i="1"/>
  <c r="N47" i="1"/>
  <c r="J41" i="2" l="1"/>
  <c r="M41" i="2"/>
  <c r="E41" i="2"/>
  <c r="F41" i="2"/>
  <c r="N45" i="1"/>
  <c r="E68" i="2"/>
  <c r="F68" i="2"/>
  <c r="N66" i="1"/>
  <c r="N32" i="1" l="1"/>
  <c r="N31" i="1"/>
  <c r="N30" i="1"/>
  <c r="N26" i="1" l="1"/>
  <c r="N25" i="1"/>
  <c r="N14" i="1"/>
  <c r="N13" i="1"/>
  <c r="E22" i="2"/>
  <c r="F22" i="2"/>
  <c r="N28" i="1"/>
  <c r="N79" i="1" l="1"/>
  <c r="N78" i="1"/>
  <c r="N65" i="1"/>
  <c r="N46" i="1"/>
  <c r="N44" i="1"/>
  <c r="N42" i="1"/>
  <c r="N41" i="1"/>
  <c r="N39" i="1"/>
  <c r="N38" i="1"/>
  <c r="N69" i="1"/>
  <c r="N68" i="1"/>
  <c r="N74" i="1"/>
  <c r="N61" i="1"/>
  <c r="N70" i="1"/>
  <c r="N36" i="1"/>
  <c r="N34" i="1"/>
  <c r="N29" i="1"/>
  <c r="N24" i="1"/>
  <c r="N21" i="1"/>
  <c r="N19" i="1"/>
  <c r="N16" i="1"/>
  <c r="N22" i="1"/>
  <c r="N17" i="1"/>
  <c r="N76" i="1"/>
  <c r="N75" i="1"/>
  <c r="N60" i="1"/>
  <c r="N35" i="1"/>
  <c r="N33" i="1"/>
  <c r="N27" i="1"/>
  <c r="N23" i="1"/>
  <c r="N20" i="1"/>
  <c r="N18" i="1"/>
  <c r="N15" i="1"/>
  <c r="N67" i="1"/>
  <c r="N73" i="1"/>
  <c r="N12" i="1"/>
  <c r="N11" i="1"/>
  <c r="N40" i="1"/>
  <c r="N43" i="1"/>
  <c r="E75" i="2" l="1"/>
  <c r="F75" i="2"/>
  <c r="E71" i="2"/>
  <c r="F71" i="2"/>
  <c r="E65" i="2"/>
  <c r="F65" i="2"/>
  <c r="E60" i="2"/>
  <c r="F60" i="2"/>
  <c r="E38" i="2"/>
  <c r="F38" i="2"/>
  <c r="E35" i="2"/>
  <c r="F35" i="2"/>
  <c r="E28" i="2"/>
  <c r="F28" i="2"/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3" i="2"/>
  <c r="F24" i="2"/>
  <c r="F25" i="2"/>
  <c r="F26" i="2"/>
  <c r="F27" i="2"/>
  <c r="F29" i="2"/>
  <c r="F30" i="2"/>
  <c r="F31" i="2"/>
  <c r="F32" i="2"/>
  <c r="F33" i="2"/>
  <c r="F34" i="2"/>
  <c r="F36" i="2"/>
  <c r="F37" i="2"/>
  <c r="F39" i="2"/>
  <c r="F40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1" i="2"/>
  <c r="F62" i="2"/>
  <c r="F63" i="2"/>
  <c r="F64" i="2"/>
  <c r="F66" i="2"/>
  <c r="F67" i="2"/>
  <c r="F69" i="2"/>
  <c r="F70" i="2"/>
  <c r="F72" i="2"/>
  <c r="F73" i="2"/>
  <c r="F74" i="2"/>
  <c r="F76" i="2"/>
  <c r="F77" i="2"/>
  <c r="F78" i="2"/>
  <c r="F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3" i="2"/>
  <c r="E24" i="2"/>
  <c r="E25" i="2"/>
  <c r="E26" i="2"/>
  <c r="E27" i="2"/>
  <c r="E29" i="2"/>
  <c r="E30" i="2"/>
  <c r="E31" i="2"/>
  <c r="E32" i="2"/>
  <c r="E33" i="2"/>
  <c r="E34" i="2"/>
  <c r="E36" i="2"/>
  <c r="E37" i="2"/>
  <c r="E39" i="2"/>
  <c r="E40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1" i="2"/>
  <c r="E62" i="2"/>
  <c r="E63" i="2"/>
  <c r="E64" i="2"/>
  <c r="E66" i="2"/>
  <c r="E67" i="2"/>
  <c r="E69" i="2"/>
  <c r="E70" i="2"/>
  <c r="E72" i="2"/>
  <c r="E73" i="2"/>
  <c r="E74" i="2"/>
  <c r="E76" i="2"/>
  <c r="E77" i="2"/>
  <c r="E78" i="2"/>
  <c r="E5" i="2"/>
  <c r="M78" i="2"/>
  <c r="J78" i="2"/>
  <c r="M77" i="2"/>
  <c r="J77" i="2"/>
  <c r="M76" i="2"/>
  <c r="J76" i="2"/>
  <c r="M74" i="2"/>
  <c r="J74" i="2"/>
  <c r="M72" i="2"/>
  <c r="J72" i="2"/>
  <c r="M70" i="2"/>
  <c r="J70" i="2"/>
  <c r="M69" i="2"/>
  <c r="J69" i="2"/>
  <c r="M67" i="2"/>
  <c r="J67" i="2"/>
  <c r="M66" i="2"/>
  <c r="J66" i="2"/>
  <c r="M64" i="2"/>
  <c r="J64" i="2"/>
  <c r="M63" i="2"/>
  <c r="J63" i="2"/>
  <c r="M62" i="2"/>
  <c r="J62" i="2"/>
  <c r="M61" i="2"/>
  <c r="J61" i="2"/>
  <c r="M59" i="2"/>
  <c r="J59" i="2"/>
  <c r="M58" i="2"/>
  <c r="J58" i="2"/>
  <c r="M57" i="2"/>
  <c r="J57" i="2"/>
  <c r="M56" i="2"/>
  <c r="J56" i="2"/>
  <c r="M54" i="2"/>
  <c r="J54" i="2"/>
  <c r="M53" i="2"/>
  <c r="J53" i="2"/>
  <c r="M52" i="2"/>
  <c r="J52" i="2"/>
  <c r="M51" i="2"/>
  <c r="J51" i="2"/>
  <c r="M50" i="2"/>
  <c r="J50" i="2"/>
  <c r="M49" i="2"/>
  <c r="J49" i="2"/>
  <c r="M48" i="2"/>
  <c r="J48" i="2"/>
  <c r="M47" i="2"/>
  <c r="J47" i="2"/>
  <c r="M46" i="2"/>
  <c r="J46" i="2"/>
  <c r="M45" i="2"/>
  <c r="J45" i="2"/>
  <c r="M44" i="2"/>
  <c r="J44" i="2"/>
  <c r="M43" i="2"/>
  <c r="J43" i="2"/>
  <c r="M42" i="2"/>
  <c r="J42" i="2"/>
  <c r="M40" i="2"/>
  <c r="J40" i="2"/>
  <c r="M39" i="2"/>
  <c r="J39" i="2"/>
  <c r="M37" i="2"/>
  <c r="J37" i="2"/>
  <c r="M36" i="2"/>
  <c r="J36" i="2"/>
  <c r="M34" i="2"/>
  <c r="J34" i="2"/>
  <c r="M32" i="2"/>
  <c r="J32" i="2"/>
  <c r="M31" i="2"/>
  <c r="J31" i="2"/>
  <c r="M30" i="2"/>
  <c r="J30" i="2"/>
  <c r="M29" i="2"/>
  <c r="J29" i="2"/>
  <c r="M27" i="2"/>
  <c r="J27" i="2"/>
  <c r="M26" i="2"/>
  <c r="J26" i="2"/>
  <c r="M25" i="2"/>
  <c r="J25" i="2"/>
  <c r="M24" i="2"/>
  <c r="J24" i="2"/>
  <c r="M23" i="2"/>
  <c r="J23" i="2"/>
  <c r="M21" i="2"/>
  <c r="J21" i="2"/>
  <c r="M20" i="2"/>
  <c r="J20" i="2"/>
  <c r="M19" i="2"/>
  <c r="J19" i="2"/>
  <c r="M18" i="2"/>
  <c r="J18" i="2"/>
  <c r="M17" i="2"/>
  <c r="J17" i="2"/>
  <c r="M16" i="2"/>
  <c r="J16" i="2"/>
  <c r="M15" i="2"/>
  <c r="J15" i="2"/>
  <c r="M14" i="2"/>
  <c r="J14" i="2"/>
  <c r="M13" i="2"/>
  <c r="J13" i="2"/>
  <c r="M12" i="2"/>
  <c r="J12" i="2"/>
  <c r="M11" i="2"/>
  <c r="J11" i="2"/>
  <c r="M10" i="2"/>
  <c r="J10" i="2"/>
  <c r="M9" i="2"/>
  <c r="J9" i="2"/>
  <c r="M8" i="2"/>
  <c r="J8" i="2"/>
  <c r="M7" i="2"/>
  <c r="J7" i="2"/>
  <c r="M6" i="2"/>
  <c r="J6" i="2"/>
  <c r="M5" i="2"/>
  <c r="J5" i="2"/>
  <c r="I45" i="1" l="1"/>
  <c r="O45" i="1" s="1"/>
  <c r="I28" i="1"/>
  <c r="O28" i="1" s="1"/>
  <c r="I72" i="1"/>
  <c r="O72" i="1" s="1"/>
  <c r="I29" i="1"/>
  <c r="O29" i="1" s="1"/>
  <c r="I58" i="1"/>
  <c r="O58" i="1" s="1"/>
  <c r="I82" i="1"/>
  <c r="O82" i="1" s="1"/>
  <c r="I22" i="1"/>
  <c r="O22" i="1" s="1"/>
  <c r="I21" i="1"/>
  <c r="O21" i="1" s="1"/>
  <c r="I19" i="1"/>
  <c r="O19" i="1" s="1"/>
  <c r="I17" i="1"/>
  <c r="O17" i="1" s="1"/>
  <c r="I36" i="1"/>
  <c r="O36" i="1" s="1"/>
  <c r="I34" i="1"/>
  <c r="O34" i="1" s="1"/>
  <c r="I54" i="1"/>
  <c r="O54" i="1" s="1"/>
  <c r="I51" i="1"/>
  <c r="O51" i="1" s="1"/>
  <c r="I16" i="1"/>
  <c r="O16" i="1" s="1"/>
  <c r="I24" i="1"/>
  <c r="O24" i="1" s="1"/>
  <c r="I26" i="1"/>
  <c r="O26" i="1" s="1"/>
  <c r="I38" i="1"/>
  <c r="O38" i="1" s="1"/>
  <c r="I47" i="1"/>
  <c r="O47" i="1" s="1"/>
  <c r="I55" i="1"/>
  <c r="O55" i="1" s="1"/>
  <c r="I64" i="1"/>
  <c r="O64" i="1" s="1"/>
  <c r="I73" i="1"/>
  <c r="O73" i="1" s="1"/>
  <c r="I27" i="1"/>
  <c r="O27" i="1" s="1"/>
  <c r="I39" i="1"/>
  <c r="O39" i="1" s="1"/>
  <c r="I48" i="1"/>
  <c r="O48" i="1" s="1"/>
  <c r="I56" i="1"/>
  <c r="O56" i="1" s="1"/>
  <c r="I65" i="1"/>
  <c r="O65" i="1" s="1"/>
  <c r="I74" i="1"/>
  <c r="O74" i="1" s="1"/>
  <c r="I12" i="1"/>
  <c r="O12" i="1" s="1"/>
  <c r="I20" i="1"/>
  <c r="O20" i="1" s="1"/>
  <c r="I35" i="1"/>
  <c r="O35" i="1" s="1"/>
  <c r="I40" i="1"/>
  <c r="O40" i="1" s="1"/>
  <c r="I49" i="1"/>
  <c r="O49" i="1" s="1"/>
  <c r="I57" i="1"/>
  <c r="O57" i="1" s="1"/>
  <c r="I66" i="1"/>
  <c r="O66" i="1" s="1"/>
  <c r="I75" i="1"/>
  <c r="O75" i="1" s="1"/>
  <c r="I13" i="1"/>
  <c r="O13" i="1" s="1"/>
  <c r="I41" i="1"/>
  <c r="O41" i="1" s="1"/>
  <c r="I50" i="1"/>
  <c r="O50" i="1" s="1"/>
  <c r="I67" i="1"/>
  <c r="O67" i="1" s="1"/>
  <c r="I76" i="1"/>
  <c r="O76" i="1" s="1"/>
  <c r="I14" i="1"/>
  <c r="O14" i="1" s="1"/>
  <c r="I11" i="1"/>
  <c r="O11" i="1" s="1"/>
  <c r="I42" i="1"/>
  <c r="O42" i="1" s="1"/>
  <c r="I60" i="1"/>
  <c r="O60" i="1" s="1"/>
  <c r="I68" i="1"/>
  <c r="O68" i="1" s="1"/>
  <c r="I78" i="1"/>
  <c r="O78" i="1" s="1"/>
  <c r="I15" i="1"/>
  <c r="O15" i="1" s="1"/>
  <c r="I23" i="1"/>
  <c r="O23" i="1" s="1"/>
  <c r="I30" i="1"/>
  <c r="O30" i="1" s="1"/>
  <c r="I43" i="1"/>
  <c r="O43" i="1" s="1"/>
  <c r="I52" i="1"/>
  <c r="O52" i="1" s="1"/>
  <c r="I61" i="1"/>
  <c r="O61" i="1" s="1"/>
  <c r="I69" i="1"/>
  <c r="O69" i="1" s="1"/>
  <c r="I79" i="1"/>
  <c r="O79" i="1" s="1"/>
  <c r="I31" i="1"/>
  <c r="O31" i="1" s="1"/>
  <c r="I44" i="1"/>
  <c r="O44" i="1" s="1"/>
  <c r="I53" i="1"/>
  <c r="O53" i="1" s="1"/>
  <c r="I62" i="1"/>
  <c r="O62" i="1" s="1"/>
  <c r="I70" i="1"/>
  <c r="O70" i="1" s="1"/>
  <c r="I80" i="1"/>
  <c r="O80" i="1" s="1"/>
  <c r="I25" i="1"/>
  <c r="O25" i="1" s="1"/>
  <c r="I32" i="1"/>
  <c r="O32" i="1" s="1"/>
  <c r="I46" i="1"/>
  <c r="O46" i="1" s="1"/>
  <c r="I63" i="1"/>
  <c r="O63" i="1" s="1"/>
  <c r="I71" i="1"/>
  <c r="O71" i="1" s="1"/>
  <c r="I81" i="1"/>
  <c r="O81" i="1" s="1"/>
  <c r="I18" i="1"/>
  <c r="O18" i="1" s="1"/>
  <c r="I33" i="1"/>
  <c r="O33" i="1" s="1"/>
  <c r="O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Wells</author>
  </authors>
  <commentList>
    <comment ref="A9" authorId="0" shapeId="0" xr:uid="{E1494D55-0067-4019-B2DF-4E8FC36E8B5D}">
      <text>
        <r>
          <rPr>
            <b/>
            <sz val="9"/>
            <color indexed="81"/>
            <rFont val="Tahoma"/>
            <family val="2"/>
          </rPr>
          <t>Back end reference only, not customer facing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9" authorId="0" shapeId="0" xr:uid="{C01553D4-CDE0-4FF9-9961-7C97BC118745}">
      <text>
        <r>
          <rPr>
            <b/>
            <sz val="9"/>
            <color indexed="81"/>
            <rFont val="Tahoma"/>
            <family val="2"/>
          </rPr>
          <t>Refer to label directions and instructions for intended use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1" authorId="0" shapeId="0" xr:uid="{E0511AFC-225F-41E3-8CE7-AAE1C47B333E}">
      <text>
        <r>
          <rPr>
            <b/>
            <sz val="9"/>
            <color indexed="81"/>
            <rFont val="Tahoma"/>
            <family val="2"/>
          </rPr>
          <t>0.67 bentgrass</t>
        </r>
      </text>
    </comment>
    <comment ref="J12" authorId="0" shapeId="0" xr:uid="{9230B5C0-9BBB-4FB3-BA0C-8ADEDA656905}">
      <text>
        <r>
          <rPr>
            <b/>
            <sz val="9"/>
            <color indexed="81"/>
            <rFont val="Tahoma"/>
            <family val="2"/>
          </rPr>
          <t>150 lb/A</t>
        </r>
      </text>
    </comment>
    <comment ref="J20" authorId="0" shapeId="0" xr:uid="{D82DB831-B695-4951-B24E-C4EB420D7BFB}">
      <text>
        <r>
          <rPr>
            <b/>
            <sz val="9"/>
            <color indexed="81"/>
            <rFont val="Tahoma"/>
            <family val="2"/>
          </rPr>
          <t>0.36 bentgrass fairways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1" authorId="0" shapeId="0" xr:uid="{2D1DAE8E-14D0-486E-A1DF-89D0B668DFD0}">
      <text>
        <r>
          <rPr>
            <b/>
            <sz val="9"/>
            <color indexed="81"/>
            <rFont val="Tahoma"/>
            <family val="2"/>
          </rPr>
          <t>0.36 bentgrass fairways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2" authorId="0" shapeId="0" xr:uid="{0497A763-D46E-4A63-A2B6-C388923AC393}">
      <text>
        <r>
          <rPr>
            <b/>
            <sz val="9"/>
            <color indexed="81"/>
            <rFont val="Tahoma"/>
            <family val="2"/>
          </rPr>
          <t>0.36 bentgrass fairways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7" authorId="0" shapeId="0" xr:uid="{44512535-F1B6-4E38-BDD8-F7B1844DB45C}">
      <text>
        <r>
          <rPr>
            <b/>
            <sz val="9"/>
            <color indexed="81"/>
            <rFont val="Tahoma"/>
            <family val="2"/>
          </rPr>
          <t>0.55 bentgrass fairways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8" authorId="0" shapeId="0" xr:uid="{62502E1A-5D60-4063-BE52-615B4F7DFE7A}">
      <text>
        <r>
          <rPr>
            <b/>
            <sz val="10"/>
            <color indexed="81"/>
            <rFont val="Tahoma"/>
            <family val="2"/>
          </rPr>
          <t>Volume Bonus Rebate only available during EOP 1.  Purchases between Nov 1 – Dec 9, 2022 are eligible for EOP 2 Rewards only.</t>
        </r>
      </text>
    </comment>
    <comment ref="J28" authorId="0" shapeId="0" xr:uid="{896F0C2C-5BBA-4270-A4E4-0279DB3E67F1}">
      <text>
        <r>
          <rPr>
            <b/>
            <sz val="9"/>
            <color indexed="81"/>
            <rFont val="Tahoma"/>
            <family val="2"/>
          </rPr>
          <t>0.55 bentgrass fairways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9" authorId="0" shapeId="0" xr:uid="{3533D9BD-F019-4519-8FC2-D8BAB17CCE8D}">
      <text>
        <r>
          <rPr>
            <b/>
            <sz val="9"/>
            <color indexed="81"/>
            <rFont val="Tahoma"/>
            <family val="2"/>
          </rPr>
          <t>0.55 bentgrass fairways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2" authorId="0" shapeId="0" xr:uid="{B3E1FD67-82C4-47A2-BFB4-CD973F15FFA1}">
      <text>
        <r>
          <rPr>
            <b/>
            <sz val="10"/>
            <color indexed="81"/>
            <rFont val="Tahoma"/>
            <family val="2"/>
          </rPr>
          <t>Volume Bonus Rebate only available during EOP 1.  Purchases between Nov 1 – Dec 9, 2022 are eligible for EOP 2 Rewards only.</t>
        </r>
      </text>
    </comment>
    <comment ref="E38" authorId="0" shapeId="0" xr:uid="{974C2A7E-390F-4198-B9B0-81F133251D5C}">
      <text>
        <r>
          <rPr>
            <b/>
            <sz val="9"/>
            <color indexed="81"/>
            <rFont val="Tahoma"/>
            <family val="2"/>
          </rPr>
          <t>Aloft GC SC Insecticide is an EPA Restricted-Use Pesticide.  Always read and follow label directions.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8" authorId="0" shapeId="0" xr:uid="{F50EA90F-985A-4823-9EA5-5ECDF9997433}">
      <text>
        <r>
          <rPr>
            <b/>
            <sz val="9"/>
            <color indexed="81"/>
            <rFont val="Tahoma"/>
            <family val="2"/>
          </rPr>
          <t>0.46 for red imported fire ant control</t>
        </r>
      </text>
    </comment>
    <comment ref="I39" authorId="0" shapeId="0" xr:uid="{A54709EC-7D15-43C1-A4A4-46D75A0CDA09}">
      <text>
        <r>
          <rPr>
            <b/>
            <sz val="10"/>
            <color indexed="81"/>
            <rFont val="Tahoma"/>
            <family val="2"/>
          </rPr>
          <t>Volume Bonus Rebate only available during EOP 1.  Purchases between Nov 1 – Dec 9, 2022 are eligible for EOP 2 Rewards only.</t>
        </r>
      </text>
    </comment>
    <comment ref="M39" authorId="0" shapeId="0" xr:uid="{A2AF103B-8FA9-4AB9-8D7F-75B274E79CBA}">
      <text>
        <r>
          <rPr>
            <b/>
            <sz val="9"/>
            <color indexed="81"/>
            <rFont val="Tahoma"/>
            <family val="2"/>
          </rPr>
          <t>0.46 for red imported fire ant control</t>
        </r>
      </text>
    </comment>
    <comment ref="M41" authorId="0" shapeId="0" xr:uid="{CB60A8F2-D2AC-4D8E-B870-24C1BD94346A}">
      <text>
        <r>
          <rPr>
            <b/>
            <sz val="9"/>
            <color indexed="81"/>
            <rFont val="Tahoma"/>
            <family val="2"/>
          </rPr>
          <t>0.46 for red imported fire ant control</t>
        </r>
      </text>
    </comment>
    <comment ref="I42" authorId="0" shapeId="0" xr:uid="{3FA15E49-C17E-4EC3-947C-C58900105A35}">
      <text>
        <r>
          <rPr>
            <b/>
            <sz val="10"/>
            <color indexed="81"/>
            <rFont val="Tahoma"/>
            <family val="2"/>
          </rPr>
          <t>Volume Bonus Rebate only available during EOP 1.  Purchases between Nov 1 – Dec 9, 2022 are eligible for EOP 2 Rewards only.</t>
        </r>
      </text>
    </comment>
    <comment ref="M42" authorId="0" shapeId="0" xr:uid="{51F5C772-B934-4472-882F-FDED0B947F4D}">
      <text>
        <r>
          <rPr>
            <b/>
            <sz val="9"/>
            <color indexed="81"/>
            <rFont val="Tahoma"/>
            <family val="2"/>
          </rPr>
          <t>0.46 for red imported fire ant control</t>
        </r>
      </text>
    </comment>
    <comment ref="J47" authorId="0" shapeId="0" xr:uid="{3652985C-7917-4321-BCD4-BE6F48DBABC0}">
      <text>
        <r>
          <rPr>
            <b/>
            <sz val="9"/>
            <color indexed="81"/>
            <rFont val="Tahoma"/>
            <family val="2"/>
          </rPr>
          <t>2 - 6 drench rate range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49" authorId="0" shapeId="0" xr:uid="{968FD6A4-5B4D-4580-B46F-074614D071AF}">
      <text>
        <r>
          <rPr>
            <b/>
            <sz val="9"/>
            <color indexed="81"/>
            <rFont val="Tahoma"/>
            <family val="2"/>
          </rPr>
          <t>3.2 - 6.4 drench rate range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9" authorId="0" shapeId="0" xr:uid="{35A3F6CC-31F5-42DE-8A44-7B60DB2B6AA2}">
      <text>
        <r>
          <rPr>
            <b/>
            <sz val="9"/>
            <color indexed="81"/>
            <rFont val="Tahoma"/>
            <family val="2"/>
          </rPr>
          <t>13 - 26 heavy infestations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3" authorId="0" shapeId="0" xr:uid="{CE0950F7-7CE6-42F1-967A-6EC29EFA91C6}">
      <text>
        <r>
          <rPr>
            <b/>
            <sz val="9"/>
            <color indexed="81"/>
            <rFont val="Tahoma"/>
            <family val="2"/>
          </rPr>
          <t>12 - 24 drench rate range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4" authorId="0" shapeId="0" xr:uid="{981D47CB-B8C7-4161-9535-77F8CD7273E9}">
      <text>
        <r>
          <rPr>
            <b/>
            <sz val="9"/>
            <color indexed="81"/>
            <rFont val="Tahoma"/>
            <family val="2"/>
          </rPr>
          <t>12 - 24 drench rate range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5" authorId="0" shapeId="0" xr:uid="{006B805B-4AA2-4142-882E-3EC2FECE2272}">
      <text>
        <r>
          <rPr>
            <b/>
            <sz val="9"/>
            <color indexed="81"/>
            <rFont val="Tahoma"/>
            <family val="2"/>
          </rPr>
          <t>Tame 2.4 EC Spray Insecticide is an EPA Restricted-Use Pesticide.  Always read and follow label directions.</t>
        </r>
      </text>
    </comment>
    <comment ref="K56" authorId="0" shapeId="0" xr:uid="{31822CD0-678A-4093-BDC4-28B317D63760}">
      <text>
        <r>
          <rPr>
            <b/>
            <sz val="9"/>
            <color indexed="81"/>
            <rFont val="Tahoma"/>
            <family val="2"/>
          </rPr>
          <t>Indoor tomatoes up to 20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0" authorId="0" shapeId="0" xr:uid="{4649E4E2-259C-4FC2-BD76-8AA0281FE0E7}">
      <text>
        <r>
          <rPr>
            <b/>
            <sz val="9"/>
            <color indexed="81"/>
            <rFont val="Tahoma"/>
            <family val="2"/>
          </rPr>
          <t>Ornamental foliar spray 33 - 84 oz / 100 G</t>
        </r>
      </text>
    </comment>
    <comment ref="K61" authorId="0" shapeId="0" xr:uid="{B36ACE1F-EB4D-48BE-A6A8-D6262CB90BAA}">
      <text>
        <r>
          <rPr>
            <b/>
            <sz val="9"/>
            <color indexed="81"/>
            <rFont val="Tahoma"/>
            <family val="2"/>
          </rPr>
          <t>Greenhouse &amp; Nursery spray 8 - 24 oz / 100 G, or 8 - 16 oz /100 G drench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2" authorId="0" shapeId="0" xr:uid="{71493F99-0827-4035-96B0-D79FC4DFD029}">
      <text>
        <r>
          <rPr>
            <b/>
            <sz val="9"/>
            <color indexed="81"/>
            <rFont val="Tahoma"/>
            <family val="2"/>
          </rPr>
          <t>Ornamental foliar spray 8 - 24 oz / 100 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3" authorId="0" shapeId="0" xr:uid="{5A5202C1-03FD-4EF4-BDB3-2D7CD2EB77E2}">
      <text>
        <r>
          <rPr>
            <b/>
            <sz val="9"/>
            <color indexed="81"/>
            <rFont val="Tahoma"/>
            <family val="2"/>
          </rPr>
          <t>Ornamental foliar spray 8 - 24 oz / 100 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4" authorId="0" shapeId="0" xr:uid="{0D836BC9-0501-45C8-9DFA-D5A071EE8866}">
      <text>
        <r>
          <rPr>
            <b/>
            <sz val="10"/>
            <color indexed="81"/>
            <rFont val="Tahoma"/>
            <family val="2"/>
          </rPr>
          <t>Volume Bonus Rebate only available during EOP 1.  Purchases between Nov 1 – Dec 9, 2022 are eligible for EOP 2 Rewards only.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4" authorId="0" shapeId="0" xr:uid="{785CF181-0188-489F-A1EE-C2BE3E5A0141}">
      <text>
        <r>
          <rPr>
            <b/>
            <sz val="9"/>
            <color indexed="81"/>
            <rFont val="Tahoma"/>
            <family val="2"/>
          </rPr>
          <t>Ornamental foliar spray 8 - 24 oz / 100 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6" authorId="0" shapeId="0" xr:uid="{FDA4F05A-CC7B-4FEC-87B4-BFBBFC3D2157}">
      <text>
        <r>
          <rPr>
            <b/>
            <sz val="9"/>
            <color indexed="81"/>
            <rFont val="Tahoma"/>
            <family val="2"/>
          </rPr>
          <t>1 - 4 drench rate range
2 - 4 foliar spray rate range</t>
        </r>
      </text>
    </comment>
    <comment ref="K67" authorId="0" shapeId="0" xr:uid="{21C12247-E7D6-4EE3-9746-8446624C51CB}">
      <text>
        <r>
          <rPr>
            <b/>
            <sz val="9"/>
            <color indexed="81"/>
            <rFont val="Tahoma"/>
            <family val="2"/>
          </rPr>
          <t xml:space="preserve">1 oz rate for turf Fairy Ring
Ornamental foliar spray 0.25 - 0.5 lb / 100 G
</t>
        </r>
      </text>
    </comment>
    <comment ref="I69" authorId="0" shapeId="0" xr:uid="{F9621B9B-A284-478E-98E2-FB3947ACD4C0}">
      <text>
        <r>
          <rPr>
            <b/>
            <sz val="10"/>
            <color indexed="81"/>
            <rFont val="Tahoma"/>
            <family val="2"/>
          </rPr>
          <t>Volume Bonus Rebate only available during EOP 1.  Purchases between Nov 1 – Dec 9, 2022 are eligible for EOP 2 Rewards only.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0" authorId="0" shapeId="0" xr:uid="{422B2263-462E-437F-92E8-DB27E8C2BF45}">
      <text>
        <r>
          <rPr>
            <b/>
            <sz val="9"/>
            <color indexed="81"/>
            <rFont val="Tahoma"/>
            <family val="2"/>
          </rPr>
          <t xml:space="preserve">Consult label for nursery, greenhouse and landscape directions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2" authorId="0" shapeId="0" xr:uid="{61EEFD2B-4AB5-4BDB-8750-BE20B6890296}">
      <text>
        <r>
          <rPr>
            <b/>
            <sz val="10"/>
            <color indexed="81"/>
            <rFont val="Tahoma"/>
            <family val="2"/>
          </rPr>
          <t>Volume Bonus Rebate only available during EOP 1.  Purchases between Nov 1 – Dec 9, 2022 are eligible for EOP 2 Rewards only.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3" authorId="0" shapeId="0" xr:uid="{CA61DAAF-0290-4BB8-9CBD-51D930979CC2}">
      <text>
        <r>
          <rPr>
            <b/>
            <sz val="9"/>
            <color indexed="81"/>
            <rFont val="Tahoma"/>
            <family val="2"/>
          </rPr>
          <t xml:space="preserve">Ornamentals and landscapes 4 -10 oz / 100 G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4" authorId="0" shapeId="0" xr:uid="{AFB39727-7B76-455B-90F9-E972DAADBF79}">
      <text>
        <r>
          <rPr>
            <b/>
            <sz val="9"/>
            <color indexed="81"/>
            <rFont val="Tahoma"/>
            <family val="2"/>
          </rPr>
          <t>Turf Pink &amp; Gray Snow Mold 0.37 - 0.44 oz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
Ornamental foliar spray 8 - 24 oz / 100 G</t>
        </r>
      </text>
    </comment>
    <comment ref="I76" authorId="0" shapeId="0" xr:uid="{9FFD6002-7EB0-41B5-B53B-0185FEB7B56C}">
      <text>
        <r>
          <rPr>
            <b/>
            <sz val="10"/>
            <color indexed="81"/>
            <rFont val="Tahoma"/>
            <family val="2"/>
          </rPr>
          <t>Volume Bonus Rebate only available during EOP 1.  Purchases between Nov 1 – Dec 9, 2022 are eligible for EOP 2 Rewards only.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9" authorId="0" shapeId="0" xr:uid="{7560CBB9-DEE3-4340-B719-851AD7C9EA8F}">
      <text>
        <r>
          <rPr>
            <b/>
            <sz val="10"/>
            <color indexed="81"/>
            <rFont val="Tahoma"/>
            <family val="2"/>
          </rPr>
          <t>Volume Bonus Rebate only available during EOP 1.  Purchases between Nov 1 – Dec 9, 2022 are eligible for EOP 2 Rewards only.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Wells</author>
  </authors>
  <commentList>
    <comment ref="A3" authorId="0" shapeId="0" xr:uid="{0B67D1EE-ECD8-43C7-9CA9-4D2C1B844ADA}">
      <text>
        <r>
          <rPr>
            <b/>
            <sz val="9"/>
            <color indexed="81"/>
            <rFont val="Tahoma"/>
            <family val="2"/>
          </rPr>
          <t>Back end reference only, not customer facing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" authorId="0" shapeId="0" xr:uid="{2BA4F46D-9AA5-45A3-87BF-0CB681E52B23}">
      <text>
        <r>
          <rPr>
            <b/>
            <sz val="9"/>
            <color indexed="81"/>
            <rFont val="Tahoma"/>
            <family val="2"/>
          </rPr>
          <t xml:space="preserve">Volume bonus eligible products available period 1 (9/12/2022 - 10/31/2022).  After period 1, eligible purchases receive only the period 2 rebate.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1" authorId="0" shapeId="0" xr:uid="{597F8D49-910F-41EE-BE6C-D41268E13922}">
      <text>
        <r>
          <rPr>
            <b/>
            <sz val="9"/>
            <color indexed="81"/>
            <rFont val="Tahoma"/>
            <family val="2"/>
          </rPr>
          <t>Minimum order qualifier 6 or more units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" authorId="0" shapeId="0" xr:uid="{B7E35368-881B-4D77-970F-925785CF3B61}">
      <text>
        <r>
          <rPr>
            <b/>
            <sz val="9"/>
            <color indexed="81"/>
            <rFont val="Tahoma"/>
            <family val="2"/>
          </rPr>
          <t>Minimum order qualifier 8 or more units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0" shapeId="0" xr:uid="{62B53656-7054-4CD6-82EA-7035B92CDC86}">
      <text>
        <r>
          <rPr>
            <b/>
            <sz val="9"/>
            <color indexed="81"/>
            <rFont val="Tahoma"/>
            <family val="2"/>
          </rPr>
          <t>Minimum order qualifier 8 or more units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7" authorId="0" shapeId="0" xr:uid="{B2DD2BE0-F748-47EE-B2F0-9B2285C60DAC}">
      <text>
        <r>
          <rPr>
            <b/>
            <sz val="9"/>
            <color indexed="81"/>
            <rFont val="Tahoma"/>
            <family val="2"/>
          </rPr>
          <t>Minimum order qualifier 8 or more units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9" authorId="0" shapeId="0" xr:uid="{F8A21EB0-10BB-4470-A082-EA26277D425D}">
      <text>
        <r>
          <rPr>
            <b/>
            <sz val="9"/>
            <color indexed="81"/>
            <rFont val="Tahoma"/>
            <family val="2"/>
          </rPr>
          <t>Minimum order qualifier 6 or more units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4" authorId="0" shapeId="0" xr:uid="{706AE213-9A81-4DEA-B1C4-B0CD73798C6F}">
      <text>
        <r>
          <rPr>
            <b/>
            <sz val="9"/>
            <color indexed="81"/>
            <rFont val="Tahoma"/>
            <family val="2"/>
          </rPr>
          <t>Minimum order qualifier 8 or more units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7" authorId="0" shapeId="0" xr:uid="{3B247D55-0535-4CBC-8B1C-D54DF01FBEFB}">
      <text>
        <r>
          <rPr>
            <b/>
            <sz val="9"/>
            <color indexed="81"/>
            <rFont val="Tahoma"/>
            <family val="2"/>
          </rPr>
          <t>Minimum order qualifier 8 or more units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1" authorId="0" shapeId="0" xr:uid="{B50CF774-1D15-45CD-9AAA-41E158929A72}">
      <text>
        <r>
          <rPr>
            <b/>
            <sz val="9"/>
            <color indexed="81"/>
            <rFont val="Tahoma"/>
            <family val="2"/>
          </rPr>
          <t xml:space="preserve">Minimum order qualifier 6 or more units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4" authorId="0" shapeId="0" xr:uid="{A997138D-8370-44A3-B22C-15D75C908B65}">
      <text>
        <r>
          <rPr>
            <b/>
            <sz val="9"/>
            <color indexed="81"/>
            <rFont val="Tahoma"/>
            <family val="2"/>
          </rPr>
          <t>Minimum order qualifier 32 or more units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<sst xmlns="http://schemas.openxmlformats.org/spreadsheetml/2006/main" count="574" uniqueCount="226">
  <si>
    <t>Herbicides</t>
  </si>
  <si>
    <t>Product Description</t>
  </si>
  <si>
    <t>Total Rebate</t>
  </si>
  <si>
    <t>4-SPEED XT 2x2.5 Gallon Case</t>
  </si>
  <si>
    <t>BROADSTAR 50 Lb Bag</t>
  </si>
  <si>
    <t>CELERO 4x1 Lb Case</t>
  </si>
  <si>
    <t>CERTAINTY 10x1.25 Wt oz Case</t>
  </si>
  <si>
    <t>CHANGE UP 2x2.5 Gallon Case</t>
  </si>
  <si>
    <t>CHANGE UP 30 Gallon Drum</t>
  </si>
  <si>
    <t>COOL POWER 2x2.5 Gallon Case</t>
  </si>
  <si>
    <t>COOL POWER 30 Gallon Drum</t>
  </si>
  <si>
    <t>ESCALADE 2 2x2.5 Gallon Case</t>
  </si>
  <si>
    <t>ESCALADE 2 30 Gallon Drum</t>
  </si>
  <si>
    <t>ESCALADE 2 250 Gallon Tote</t>
  </si>
  <si>
    <t>HORSEPOWER 2x2.5 Gallon Case</t>
  </si>
  <si>
    <t>HORSEPOWER 30 Gallon Drum</t>
  </si>
  <si>
    <t>MANOR 16x2 Wt oz Case</t>
  </si>
  <si>
    <t>MANOR 8x8 Wt oz Case</t>
  </si>
  <si>
    <t>MILLENNIUM ULTRA 2 2x2.5 Gallon Case</t>
  </si>
  <si>
    <t>MILLENNIUM ULTRA 2 30 Gallon Drum</t>
  </si>
  <si>
    <t>QUINCEPT 2x2.5 Gallon Case</t>
  </si>
  <si>
    <t>QUINCEPT 30 Gallon Drum</t>
  </si>
  <si>
    <t>SUREGUARD SC 8x1 Pt Case</t>
  </si>
  <si>
    <t>SURE POWER 2x2.5 Gallon Case</t>
  </si>
  <si>
    <t>SURE POWER 30 Gallon Drum</t>
  </si>
  <si>
    <t>TRIPLET LOW ODOR 2x2.5 Gallon Case</t>
  </si>
  <si>
    <t>TRIPLET LOW ODOR 30 Gallon Drum</t>
  </si>
  <si>
    <t>Insecticides</t>
  </si>
  <si>
    <t>ALOFT LC G 30 Lb Bag</t>
  </si>
  <si>
    <t>ARENA 0.25 G 30 Lb Bag</t>
  </si>
  <si>
    <t>ARENA 50 WDG 4x40 Wt oz Case</t>
  </si>
  <si>
    <t>DIPEL PRO DF 30x1 Lb Case</t>
  </si>
  <si>
    <t>DISTANCE IGR 4x1 Qt Case</t>
  </si>
  <si>
    <t>GNATROL WDG 16 Lb Pail</t>
  </si>
  <si>
    <t>MINX 2 4x1 Qt Case</t>
  </si>
  <si>
    <t>MINX 2 4x1 Gallon Case</t>
  </si>
  <si>
    <t>OVERTURE 35 WP 8x8x2 Wt oz Case</t>
  </si>
  <si>
    <t>SAFARI 20 SG 16x12 Wt oz Case</t>
  </si>
  <si>
    <t>SAFARI 20 SG 4x3 Lb Case</t>
  </si>
  <si>
    <t>TAME 2.4 EC SPRAY 12x1 Qt Case</t>
  </si>
  <si>
    <t>TETRASAN 5 WDG 8x8x2 Wt oz Case</t>
  </si>
  <si>
    <t>TRISTAR 8.5 SL 4x1 Qt Case</t>
  </si>
  <si>
    <t>TRISTAR 8.5 SL 4x1 Gallon Case</t>
  </si>
  <si>
    <t>Fungicides</t>
  </si>
  <si>
    <t>26/36 2x2.5 Gallon Case</t>
  </si>
  <si>
    <t>3336 EG 4x5 Lb Case</t>
  </si>
  <si>
    <t>3336 F 12x1 Qt Case</t>
  </si>
  <si>
    <t>3336 DG LITE 30 Lb Bag</t>
  </si>
  <si>
    <t>ADORN 12x1 Qt Case</t>
  </si>
  <si>
    <t>AFFIRM WDG 3x2.4 Lb Case</t>
  </si>
  <si>
    <t>SPECTRO 90 WDG 4x5 Lb Case</t>
  </si>
  <si>
    <t>SPIRATO GHN 8x1 Pt Case</t>
  </si>
  <si>
    <t>TORQUE 5x1 Gallon Case</t>
  </si>
  <si>
    <t>TOURNEY 4x5 Lb Case</t>
  </si>
  <si>
    <t>Plant Growth Regulators</t>
  </si>
  <si>
    <t>FASCINATION 4x0.5 Gallon Case</t>
  </si>
  <si>
    <t>SUMAGIC 4x1 Gallon Case</t>
  </si>
  <si>
    <t>SUMAGIC 15 Gallon Drum</t>
  </si>
  <si>
    <t>ENGULF GHN 8x1 Pt Case</t>
  </si>
  <si>
    <t>Item Number</t>
  </si>
  <si>
    <t>4-SPEED XT</t>
  </si>
  <si>
    <t>Unit Size</t>
  </si>
  <si>
    <t>COOL POWER</t>
  </si>
  <si>
    <t>ESCALADE 2</t>
  </si>
  <si>
    <t>HORSEPOWER</t>
  </si>
  <si>
    <t>MANOR</t>
  </si>
  <si>
    <t>MILLENNIUM ULTRA 2</t>
  </si>
  <si>
    <t>QUINCEPT</t>
  </si>
  <si>
    <t>TRIPLET LOW ODOR</t>
  </si>
  <si>
    <t>TORQUE</t>
  </si>
  <si>
    <t>3336 DG LITE</t>
  </si>
  <si>
    <t>3336 F</t>
  </si>
  <si>
    <t>AFFIRM WDG</t>
  </si>
  <si>
    <t>SPECTRO 90 WDG</t>
  </si>
  <si>
    <t>26/36</t>
  </si>
  <si>
    <t>TRISTAR 8.5 SL</t>
  </si>
  <si>
    <t>CHANGE UP</t>
  </si>
  <si>
    <t>3336 EG</t>
  </si>
  <si>
    <t>ADORN</t>
  </si>
  <si>
    <t>ARENA 0.25 G</t>
  </si>
  <si>
    <t>ARENA 50 WDG</t>
  </si>
  <si>
    <t>BROADSTAR</t>
  </si>
  <si>
    <t>DIPEL PRO DF</t>
  </si>
  <si>
    <t>DISTANCE IGR</t>
  </si>
  <si>
    <t>FASCINATION</t>
  </si>
  <si>
    <t>GNATROL WDG</t>
  </si>
  <si>
    <t>OVERTURE 35 WP</t>
  </si>
  <si>
    <t>SAFARI 20 SG</t>
  </si>
  <si>
    <t>SUMAGIC</t>
  </si>
  <si>
    <t>TAME 2.4 EC SPRAY</t>
  </si>
  <si>
    <t>TETRASAN 5 WDG</t>
  </si>
  <si>
    <t>TOURNEY</t>
  </si>
  <si>
    <t>MINX 2</t>
  </si>
  <si>
    <t>ALOFT LC G</t>
  </si>
  <si>
    <t>SUREGUARD SC</t>
  </si>
  <si>
    <t>CERTAINTY</t>
  </si>
  <si>
    <t>CELERO</t>
  </si>
  <si>
    <t>SURE POWER</t>
  </si>
  <si>
    <t>ENGULF GHN</t>
  </si>
  <si>
    <t>Product</t>
  </si>
  <si>
    <t>Quantity</t>
  </si>
  <si>
    <t>2.5 gal. bottle</t>
  </si>
  <si>
    <t>50 lb. bag</t>
  </si>
  <si>
    <t>P1 Rebate/Unit</t>
  </si>
  <si>
    <t>P1 Volume Rebate/Unit</t>
  </si>
  <si>
    <t>P2 Rebate/Unit</t>
  </si>
  <si>
    <t>1 lb. bag</t>
  </si>
  <si>
    <t>30 gal. drum</t>
  </si>
  <si>
    <t>250 gal. tote</t>
  </si>
  <si>
    <t>8 wt oz. bottle</t>
  </si>
  <si>
    <t>1 pt. bottle</t>
  </si>
  <si>
    <t>64 fl oz. bottle</t>
  </si>
  <si>
    <t>30 lb. bag</t>
  </si>
  <si>
    <t>40 wt oz. bottle</t>
  </si>
  <si>
    <t>1 qt. bottle</t>
  </si>
  <si>
    <t>16 lb. pail</t>
  </si>
  <si>
    <t>1 gal. bottle</t>
  </si>
  <si>
    <t>12 wt oz. bottle</t>
  </si>
  <si>
    <t>5 lb. bag</t>
  </si>
  <si>
    <t>2.4 lb. bag</t>
  </si>
  <si>
    <t>60 fl oz. bottle</t>
  </si>
  <si>
    <t>1.5 lb. bag</t>
  </si>
  <si>
    <t>0.5 gal. bottle</t>
  </si>
  <si>
    <t>15 gal. drum</t>
  </si>
  <si>
    <t>NY</t>
  </si>
  <si>
    <t>FL</t>
  </si>
  <si>
    <t>CA</t>
  </si>
  <si>
    <t>MT</t>
  </si>
  <si>
    <t>AZ</t>
  </si>
  <si>
    <t>WI</t>
  </si>
  <si>
    <t>CHANGE UP 250 Gallon Tote</t>
  </si>
  <si>
    <t>1 lb. bottle</t>
  </si>
  <si>
    <t>1.25 wt oz. bottle</t>
  </si>
  <si>
    <t>2 wt oz. bottle</t>
  </si>
  <si>
    <t>3 lb. bottle</t>
  </si>
  <si>
    <t>5 lb. bottle</t>
  </si>
  <si>
    <t># Units</t>
  </si>
  <si>
    <t>Period 1</t>
  </si>
  <si>
    <t>Period 2</t>
  </si>
  <si>
    <t>Rebate/Unit</t>
  </si>
  <si>
    <t>Program Periods:</t>
  </si>
  <si>
    <t>Nufarm Edge Rewards Calculator</t>
  </si>
  <si>
    <t>SUREGUARD SC 4x64 Fl oz Case (1-7 units)</t>
  </si>
  <si>
    <t>SUREGUARD SC 4x64 Fl oz Case (8+ units)</t>
  </si>
  <si>
    <t>ALOFT GC SC 4x64 Fl oz Case (1-7 units)</t>
  </si>
  <si>
    <t>ALOFT GC SC 4x64 Fl oz Case (8+ units)</t>
  </si>
  <si>
    <t>ALOFT LC SC 4x64 Fl oz Case (1-7 units)</t>
  </si>
  <si>
    <t>ALOFT LC SC 4x64 Fl oz Case (8+ units)</t>
  </si>
  <si>
    <t>3336 F 2x2.5 Gallon Case (1-5 units)</t>
  </si>
  <si>
    <t>ANUEW 4x4x1.5 Lb Case (1 - 31 units)</t>
  </si>
  <si>
    <t>ANUEW 4x4x1.5 Lb Case (32+ units)</t>
  </si>
  <si>
    <t>PINPOINT 4x60 Fl oz Case (1-7 units)</t>
  </si>
  <si>
    <t>PINPOINT 4x60 Fl oz Case (8+ units)</t>
  </si>
  <si>
    <t>TRACTION 2x2.5 Gallon Case (1-5 units)</t>
  </si>
  <si>
    <t>TRACTION 2x2.5 Gallon Case (6+ units)</t>
  </si>
  <si>
    <t>3336 F 2x2.5 Gallon Case (6+ units)</t>
  </si>
  <si>
    <t>SUREGUARD SC (1-7 units)</t>
  </si>
  <si>
    <t>SUREGUARD SC (8+ units)</t>
  </si>
  <si>
    <t>ALOFT GC SC  (1-7 units)</t>
  </si>
  <si>
    <t>ALOFT GC SC (8+ units)</t>
  </si>
  <si>
    <t>ALOFT LC SC (1-7 units)</t>
  </si>
  <si>
    <t>ALOFT LC SC (8+ units)</t>
  </si>
  <si>
    <t>3336 F (1-5 units)</t>
  </si>
  <si>
    <t>3336 F  (6+ units)</t>
  </si>
  <si>
    <t>PINPOINT (8+ units)</t>
  </si>
  <si>
    <t>PINPOINT (1-7 units)</t>
  </si>
  <si>
    <t>TRACTION (1-5 units)</t>
  </si>
  <si>
    <t>TRACTION (6+ units)</t>
  </si>
  <si>
    <t>ANUEW (1 - 31 units)</t>
  </si>
  <si>
    <t>ANUEW (32+ units)</t>
  </si>
  <si>
    <t>Example Low Rate</t>
  </si>
  <si>
    <t>Example High Rate</t>
  </si>
  <si>
    <t>Measure</t>
  </si>
  <si>
    <t>lb / A</t>
  </si>
  <si>
    <t>Nursery &amp; Greenhouse</t>
  </si>
  <si>
    <t>Use</t>
  </si>
  <si>
    <t>Key:</t>
  </si>
  <si>
    <t>No State Registation</t>
  </si>
  <si>
    <t>oz / A</t>
  </si>
  <si>
    <t>fl.oz / 100 gal</t>
  </si>
  <si>
    <t>oz / 100 gal</t>
  </si>
  <si>
    <t>N/A</t>
  </si>
  <si>
    <t>MILLENNIUM ULTRA 2 (1 - 5 units)</t>
  </si>
  <si>
    <t>MILLENNIUM ULTRA 2 (6+ units)</t>
  </si>
  <si>
    <t>Golf Turf</t>
  </si>
  <si>
    <t>consult label</t>
  </si>
  <si>
    <t>EOP 1: September 12 - October 31, 2022</t>
  </si>
  <si>
    <t>EOP 2: November 1 - December 9, 2022</t>
  </si>
  <si>
    <t>Volume Bonus rebates only available during EOP 1</t>
  </si>
  <si>
    <t>Lawn &amp; Landscape Ornamentals</t>
  </si>
  <si>
    <t>Name:</t>
  </si>
  <si>
    <t>Date:</t>
  </si>
  <si>
    <t>https://nufarm.com/usturf/</t>
  </si>
  <si>
    <t>For product and application details please visit our website:</t>
  </si>
  <si>
    <t>©2022 Nufarm. 3336®, 4-Speed®, Anuew™, Change Up™, Cool Power®, Engulf™, Escalade®, Horsepower®, Manor®, Millennium Ultra®, Quincept®, Spirato®, Sure Power®, Traction™ and Triplet® are trademarks of Nufarm. 26/36®, Affirm™, Minx™, Spectro® and Torque™ are trademarks of Cleary Chemical, LLC. TriStar® is a trademark of Nippon Soda Co, Ltd. Adorn®, Aloft®, BroadStar™, Distance®, Overture®, Pinpoint®, Safari®, SureGuard®, Tame®, TetraSan® and Tourney® are trademarks of Valent U.S.A. LLC. DiPel®, Fascination® and Gnatrol® are trademarks of Valent BioSciences LLC. Arena®, Celero® and Sumagic® are trademarks of Sumitomo Chemical Company, Ltd. Certainty® is a trademark of Monsanto Technology LLC.</t>
  </si>
  <si>
    <t>Always read and follow label directions</t>
  </si>
  <si>
    <t>Register online during September 12 - December 9, 2022 to qualify for Nufarm Edge Rewards (previous registrants do not need to re-register), and purchase two or more eligible Nufarm brands totaling a minimum of $2,500 from an authorized Nufarm distributor. Distributor Credit available after June 30, 2023.</t>
  </si>
  <si>
    <t>Required #Units</t>
  </si>
  <si>
    <t>Own App Rate
(optional)</t>
  </si>
  <si>
    <t xml:space="preserve">Not all products are registered in all states, please verify state registration for your purposes. Aloft® GC is an EPA Restricted-Use Pesticide. 
</t>
  </si>
  <si>
    <t>This calculator tool is for planning purposes only.</t>
  </si>
  <si>
    <t>SPIRATO GHN (1-7 units)</t>
  </si>
  <si>
    <t>SPIRATO GHN (8+ units)</t>
  </si>
  <si>
    <t>SPIRATO GHN 8x1 Pt Case (1-7 units)</t>
  </si>
  <si>
    <t>SPIRATO GHN 8x1 Pt Case (8+ units)</t>
  </si>
  <si>
    <t>Select EOP Period 1 or 2 below</t>
  </si>
  <si>
    <t>MILLENNIUM ULTRA 2 2x2.5 Gallon Case (1 - 5 units)</t>
  </si>
  <si>
    <t>MILLENNIUM ULTRA 2 2x2.5 Gallon Case (6+ units)</t>
  </si>
  <si>
    <t>Volume Bonus Rebate (only during EOP 1)</t>
  </si>
  <si>
    <t>NY 24-C only</t>
  </si>
  <si>
    <t>ID, AZ
NYDEC 326.23(e) Not For Sale or Use on Long Island</t>
  </si>
  <si>
    <t>NYDEC 326.23(e) Not For Sale or Use on Long Island</t>
  </si>
  <si>
    <t>AR, MT
NYDEC 326.23(e) Not For Sale or Use on Long Island</t>
  </si>
  <si>
    <t>Not for sale, use or distribution in Nassau &amp; Suffolk Counties (No application within 50 ft of water body connected to off-site surface water in NY)</t>
  </si>
  <si>
    <t>ARENA SE 50 WDG (Florida Only)</t>
  </si>
  <si>
    <t>Only available in Florida</t>
  </si>
  <si>
    <t>St. Augustine Grass</t>
  </si>
  <si>
    <t>ARENA S.E. 50 WDG 4x40 Wt oz Case</t>
  </si>
  <si>
    <t>AL, AZ, CA, FL, LA, NV, TX
Not for sale, use or distribution in Nassau &amp; Suffolk Counties</t>
  </si>
  <si>
    <t>Subtotal Rebate</t>
  </si>
  <si>
    <r>
      <t xml:space="preserve">Your Treated Acres
</t>
    </r>
    <r>
      <rPr>
        <b/>
        <sz val="10"/>
        <rFont val="Arial"/>
        <family val="2"/>
      </rPr>
      <t>(or gallons mix)</t>
    </r>
  </si>
  <si>
    <r>
      <t>fl.oz / 1000</t>
    </r>
    <r>
      <rPr>
        <vertAlign val="superscript"/>
        <sz val="11"/>
        <rFont val="Arial"/>
        <family val="2"/>
      </rPr>
      <t>2</t>
    </r>
  </si>
  <si>
    <r>
      <t>lb / 1000</t>
    </r>
    <r>
      <rPr>
        <vertAlign val="superscript"/>
        <sz val="11"/>
        <rFont val="Arial"/>
        <family val="2"/>
      </rPr>
      <t>2</t>
    </r>
  </si>
  <si>
    <r>
      <t>oz / 1000</t>
    </r>
    <r>
      <rPr>
        <vertAlign val="superscript"/>
        <sz val="11"/>
        <rFont val="Arial"/>
        <family val="2"/>
      </rPr>
      <t>2</t>
    </r>
  </si>
  <si>
    <r>
      <t>lbs / 1000</t>
    </r>
    <r>
      <rPr>
        <vertAlign val="superscript"/>
        <sz val="11"/>
        <rFont val="Arial"/>
        <family val="2"/>
      </rPr>
      <t>2</t>
    </r>
  </si>
  <si>
    <r>
      <t xml:space="preserve">12 </t>
    </r>
    <r>
      <rPr>
        <sz val="10"/>
        <rFont val="Arial"/>
        <family val="2"/>
      </rPr>
      <t>cool season</t>
    </r>
    <r>
      <rPr>
        <sz val="6"/>
        <rFont val="Arial"/>
        <family val="2"/>
      </rPr>
      <t xml:space="preserve">
</t>
    </r>
    <r>
      <rPr>
        <sz val="11"/>
        <rFont val="Arial"/>
        <family val="2"/>
      </rPr>
      <t xml:space="preserve">
16 </t>
    </r>
    <r>
      <rPr>
        <sz val="10"/>
        <rFont val="Arial"/>
        <family val="2"/>
      </rPr>
      <t>warm season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</si>
</sst>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"/>
    <numFmt numFmtId="167" formatCode="\(0\ &quot;gal&quot;\)"/>
  </numFmts>
  <fonts count="34" x14ac:knownFonts="1">
    <font>
      <sz val="10"/>
      <name val="Verdana"/>
      <family val="2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sz val="14"/>
      <name val="Verdana"/>
      <family val="2"/>
    </font>
    <font>
      <sz val="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b/>
      <sz val="10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u/>
      <sz val="12"/>
      <color theme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i/>
      <sz val="12"/>
      <name val="Arial"/>
      <family val="2"/>
    </font>
    <font>
      <vertAlign val="superscript"/>
      <sz val="11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sz val="9"/>
      <name val="Arial"/>
      <family val="2"/>
    </font>
    <font>
      <sz val="11"/>
      <color rgb="FFC00000"/>
      <name val="Arial"/>
      <family val="2"/>
    </font>
    <font>
      <b/>
      <sz val="14"/>
      <color theme="2" tint="-0.749992370372631"/>
      <name val="Arial"/>
      <family val="2"/>
    </font>
    <font>
      <sz val="11"/>
      <color theme="2" tint="-0.749992370372631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 applyNumberFormat="0" applyFill="0" applyBorder="0" applyAlignment="0" applyProtection="0"/>
  </cellStyleXfs>
  <cellXfs count="248">
    <xf numFmtId="0" fontId="0" fillId="0" borderId="0" xfId="0"/>
    <xf numFmtId="0" fontId="3" fillId="0" borderId="1" xfId="0" applyFont="1" applyBorder="1"/>
    <xf numFmtId="0" fontId="3" fillId="0" borderId="0" xfId="0" applyFont="1"/>
    <xf numFmtId="0" fontId="0" fillId="0" borderId="1" xfId="0" applyBorder="1"/>
    <xf numFmtId="44" fontId="0" fillId="0" borderId="1" xfId="2" applyFont="1" applyFill="1" applyBorder="1"/>
    <xf numFmtId="44" fontId="0" fillId="0" borderId="0" xfId="2" applyFont="1"/>
    <xf numFmtId="44" fontId="0" fillId="0" borderId="0" xfId="2" applyFont="1" applyFill="1" applyBorder="1"/>
    <xf numFmtId="164" fontId="3" fillId="0" borderId="1" xfId="1" applyNumberFormat="1" applyFont="1" applyFill="1" applyBorder="1"/>
    <xf numFmtId="164" fontId="0" fillId="0" borderId="1" xfId="1" applyNumberFormat="1" applyFont="1" applyFill="1" applyBorder="1"/>
    <xf numFmtId="164" fontId="0" fillId="0" borderId="0" xfId="1" applyNumberFormat="1" applyFont="1"/>
    <xf numFmtId="44" fontId="3" fillId="0" borderId="1" xfId="2" applyFont="1" applyFill="1" applyBorder="1" applyAlignment="1">
      <alignment horizontal="center" vertical="center" wrapText="1"/>
    </xf>
    <xf numFmtId="44" fontId="0" fillId="0" borderId="0" xfId="2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4" fontId="3" fillId="2" borderId="1" xfId="2" applyFont="1" applyFill="1" applyBorder="1" applyAlignment="1" applyProtection="1">
      <alignment horizontal="center" vertical="center" wrapText="1"/>
      <protection locked="0"/>
    </xf>
    <xf numFmtId="164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/>
    <xf numFmtId="0" fontId="6" fillId="0" borderId="0" xfId="0" applyFont="1" applyFill="1" applyAlignment="1">
      <alignment wrapText="1"/>
    </xf>
    <xf numFmtId="0" fontId="0" fillId="0" borderId="1" xfId="0" applyFill="1" applyBorder="1"/>
    <xf numFmtId="0" fontId="0" fillId="0" borderId="1" xfId="0" applyBorder="1" applyAlignment="1">
      <alignment horizontal="center"/>
    </xf>
    <xf numFmtId="44" fontId="3" fillId="0" borderId="1" xfId="2" applyFont="1" applyFill="1" applyBorder="1" applyAlignment="1" applyProtection="1">
      <alignment horizontal="center" vertical="center" wrapText="1"/>
      <protection locked="0"/>
    </xf>
    <xf numFmtId="164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6" fillId="0" borderId="0" xfId="0" applyFont="1" applyFill="1" applyAlignment="1">
      <alignment horizontal="left" wrapText="1"/>
    </xf>
    <xf numFmtId="0" fontId="6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165" fontId="0" fillId="0" borderId="1" xfId="2" applyNumberFormat="1" applyFont="1" applyFill="1" applyBorder="1" applyAlignment="1">
      <alignment horizontal="right" vertical="center" wrapText="1"/>
    </xf>
    <xf numFmtId="165" fontId="3" fillId="0" borderId="1" xfId="2" applyNumberFormat="1" applyFont="1" applyFill="1" applyBorder="1" applyAlignment="1">
      <alignment horizontal="right" vertical="center" wrapText="1"/>
    </xf>
    <xf numFmtId="0" fontId="0" fillId="0" borderId="4" xfId="0" applyFill="1" applyBorder="1"/>
    <xf numFmtId="0" fontId="0" fillId="0" borderId="0" xfId="0" applyFill="1"/>
    <xf numFmtId="0" fontId="0" fillId="0" borderId="0" xfId="0" applyFill="1" applyAlignment="1">
      <alignment horizontal="left"/>
    </xf>
    <xf numFmtId="164" fontId="0" fillId="0" borderId="0" xfId="1" applyNumberFormat="1" applyFont="1" applyFill="1"/>
    <xf numFmtId="44" fontId="0" fillId="0" borderId="0" xfId="2" applyFont="1" applyFill="1"/>
    <xf numFmtId="44" fontId="0" fillId="0" borderId="0" xfId="2" applyFont="1" applyFill="1" applyAlignment="1">
      <alignment horizontal="center" vertical="center" wrapText="1"/>
    </xf>
    <xf numFmtId="0" fontId="0" fillId="0" borderId="1" xfId="0" applyFill="1" applyBorder="1" applyAlignment="1">
      <alignment horizontal="left"/>
    </xf>
    <xf numFmtId="0" fontId="0" fillId="7" borderId="1" xfId="0" applyFill="1" applyBorder="1"/>
    <xf numFmtId="0" fontId="0" fillId="7" borderId="1" xfId="0" applyFill="1" applyBorder="1" applyAlignment="1">
      <alignment horizontal="left"/>
    </xf>
    <xf numFmtId="165" fontId="0" fillId="7" borderId="1" xfId="2" applyNumberFormat="1" applyFont="1" applyFill="1" applyBorder="1" applyAlignment="1">
      <alignment horizontal="right" vertical="center" wrapText="1"/>
    </xf>
    <xf numFmtId="164" fontId="0" fillId="7" borderId="1" xfId="1" applyNumberFormat="1" applyFont="1" applyFill="1" applyBorder="1"/>
    <xf numFmtId="44" fontId="0" fillId="7" borderId="1" xfId="2" applyFont="1" applyFill="1" applyBorder="1"/>
    <xf numFmtId="44" fontId="0" fillId="7" borderId="0" xfId="2" applyFont="1" applyFill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13" fillId="0" borderId="0" xfId="0" applyFont="1"/>
    <xf numFmtId="0" fontId="13" fillId="0" borderId="0" xfId="0" applyFont="1" applyFill="1" applyBorder="1" applyAlignment="1">
      <alignment wrapText="1"/>
    </xf>
    <xf numFmtId="0" fontId="13" fillId="0" borderId="6" xfId="0" applyFont="1" applyBorder="1" applyAlignment="1">
      <alignment horizontal="left"/>
    </xf>
    <xf numFmtId="0" fontId="13" fillId="0" borderId="6" xfId="0" applyFont="1" applyBorder="1"/>
    <xf numFmtId="0" fontId="15" fillId="2" borderId="7" xfId="0" applyFont="1" applyFill="1" applyBorder="1" applyAlignment="1">
      <alignment vertical="center"/>
    </xf>
    <xf numFmtId="0" fontId="15" fillId="0" borderId="7" xfId="0" applyFont="1" applyFill="1" applyBorder="1" applyAlignment="1">
      <alignment vertical="center"/>
    </xf>
    <xf numFmtId="164" fontId="13" fillId="0" borderId="0" xfId="1" applyNumberFormat="1" applyFont="1"/>
    <xf numFmtId="44" fontId="13" fillId="0" borderId="0" xfId="2" applyFont="1" applyAlignment="1">
      <alignment horizontal="center" vertical="center" wrapText="1"/>
    </xf>
    <xf numFmtId="0" fontId="13" fillId="0" borderId="0" xfId="2" applyNumberFormat="1" applyFont="1"/>
    <xf numFmtId="164" fontId="16" fillId="0" borderId="0" xfId="1" applyNumberFormat="1" applyFont="1" applyAlignment="1">
      <alignment horizontal="right"/>
    </xf>
    <xf numFmtId="0" fontId="17" fillId="0" borderId="0" xfId="6" applyNumberFormat="1" applyFont="1"/>
    <xf numFmtId="0" fontId="15" fillId="0" borderId="0" xfId="0" applyFont="1" applyFill="1" applyBorder="1" applyAlignment="1">
      <alignment vertical="center"/>
    </xf>
    <xf numFmtId="0" fontId="18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8" fillId="0" borderId="0" xfId="0" applyFont="1"/>
    <xf numFmtId="0" fontId="20" fillId="0" borderId="0" xfId="0" applyFont="1" applyAlignment="1">
      <alignment horizontal="center"/>
    </xf>
    <xf numFmtId="44" fontId="21" fillId="0" borderId="0" xfId="2" applyFont="1" applyFill="1" applyAlignment="1">
      <alignment horizontal="center" vertical="center" wrapText="1"/>
    </xf>
    <xf numFmtId="0" fontId="21" fillId="0" borderId="0" xfId="2" applyNumberFormat="1" applyFont="1" applyFill="1"/>
    <xf numFmtId="0" fontId="18" fillId="0" borderId="0" xfId="0" applyFont="1" applyFill="1"/>
    <xf numFmtId="0" fontId="13" fillId="0" borderId="0" xfId="2" applyNumberFormat="1" applyFont="1" applyFill="1"/>
    <xf numFmtId="44" fontId="13" fillId="0" borderId="0" xfId="2" applyFont="1" applyFill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9" fillId="0" borderId="0" xfId="0" applyFont="1" applyBorder="1" applyAlignment="1">
      <alignment horizontal="center" vertical="center"/>
    </xf>
    <xf numFmtId="0" fontId="14" fillId="0" borderId="0" xfId="0" applyFont="1"/>
    <xf numFmtId="164" fontId="20" fillId="6" borderId="1" xfId="1" applyNumberFormat="1" applyFont="1" applyFill="1" applyBorder="1" applyAlignment="1" applyProtection="1">
      <alignment horizontal="center" vertical="center" wrapText="1"/>
      <protection locked="0"/>
    </xf>
    <xf numFmtId="164" fontId="15" fillId="2" borderId="0" xfId="1" applyNumberFormat="1" applyFont="1" applyFill="1" applyAlignment="1">
      <alignment horizontal="right"/>
    </xf>
    <xf numFmtId="165" fontId="15" fillId="2" borderId="0" xfId="1" applyNumberFormat="1" applyFont="1" applyFill="1" applyAlignment="1" applyProtection="1">
      <alignment horizontal="right"/>
      <protection hidden="1"/>
    </xf>
    <xf numFmtId="44" fontId="13" fillId="0" borderId="0" xfId="2" applyFont="1" applyFill="1" applyAlignment="1">
      <alignment horizontal="center" vertical="center" wrapText="1"/>
    </xf>
    <xf numFmtId="0" fontId="13" fillId="0" borderId="0" xfId="0" applyFont="1" applyFill="1"/>
    <xf numFmtId="9" fontId="13" fillId="0" borderId="0" xfId="3" applyFont="1"/>
    <xf numFmtId="0" fontId="13" fillId="0" borderId="0" xfId="0" applyFont="1" applyFill="1" applyBorder="1"/>
    <xf numFmtId="0" fontId="16" fillId="0" borderId="0" xfId="0" applyFont="1" applyAlignment="1">
      <alignment horizontal="left" vertical="center"/>
    </xf>
    <xf numFmtId="0" fontId="22" fillId="0" borderId="0" xfId="0" applyFont="1" applyFill="1" applyAlignment="1">
      <alignment wrapText="1"/>
    </xf>
    <xf numFmtId="0" fontId="23" fillId="2" borderId="1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0" fillId="2" borderId="1" xfId="0" applyFont="1" applyFill="1" applyBorder="1" applyAlignment="1" applyProtection="1">
      <alignment horizontal="center" vertical="center"/>
    </xf>
    <xf numFmtId="0" fontId="20" fillId="2" borderId="8" xfId="0" applyFont="1" applyFill="1" applyBorder="1" applyAlignment="1" applyProtection="1">
      <alignment vertical="center"/>
    </xf>
    <xf numFmtId="0" fontId="20" fillId="2" borderId="1" xfId="0" applyFont="1" applyFill="1" applyBorder="1" applyAlignment="1" applyProtection="1">
      <alignment horizontal="left" vertical="center"/>
    </xf>
    <xf numFmtId="164" fontId="20" fillId="6" borderId="1" xfId="1" applyNumberFormat="1" applyFont="1" applyFill="1" applyBorder="1" applyAlignment="1" applyProtection="1">
      <alignment horizontal="center" vertical="center" wrapText="1"/>
    </xf>
    <xf numFmtId="44" fontId="20" fillId="2" borderId="1" xfId="2" applyFont="1" applyFill="1" applyBorder="1" applyAlignment="1" applyProtection="1">
      <alignment horizontal="center" vertical="center" wrapText="1"/>
    </xf>
    <xf numFmtId="0" fontId="20" fillId="2" borderId="1" xfId="2" applyNumberFormat="1" applyFont="1" applyFill="1" applyBorder="1" applyAlignment="1" applyProtection="1">
      <alignment horizontal="center" vertical="center" wrapText="1"/>
    </xf>
    <xf numFmtId="0" fontId="21" fillId="0" borderId="0" xfId="0" applyFont="1"/>
    <xf numFmtId="0" fontId="23" fillId="0" borderId="1" xfId="0" applyFont="1" applyFill="1" applyBorder="1" applyAlignment="1">
      <alignment vertical="center"/>
    </xf>
    <xf numFmtId="0" fontId="23" fillId="0" borderId="8" xfId="0" applyFont="1" applyBorder="1"/>
    <xf numFmtId="0" fontId="23" fillId="0" borderId="0" xfId="0" applyFont="1" applyBorder="1"/>
    <xf numFmtId="0" fontId="23" fillId="4" borderId="2" xfId="0" applyFont="1" applyFill="1" applyBorder="1" applyAlignment="1" applyProtection="1">
      <alignment horizontal="left"/>
    </xf>
    <xf numFmtId="0" fontId="24" fillId="4" borderId="12" xfId="0" applyFont="1" applyFill="1" applyBorder="1" applyAlignment="1" applyProtection="1">
      <alignment horizontal="left"/>
    </xf>
    <xf numFmtId="0" fontId="23" fillId="4" borderId="5" xfId="0" applyFont="1" applyFill="1" applyBorder="1" applyAlignment="1" applyProtection="1">
      <alignment horizontal="left"/>
    </xf>
    <xf numFmtId="0" fontId="23" fillId="4" borderId="2" xfId="0" applyFont="1" applyFill="1" applyBorder="1" applyAlignment="1" applyProtection="1">
      <alignment horizontal="left" vertical="center"/>
    </xf>
    <xf numFmtId="0" fontId="23" fillId="4" borderId="2" xfId="1" applyNumberFormat="1" applyFont="1" applyFill="1" applyBorder="1" applyAlignment="1" applyProtection="1">
      <alignment horizontal="center" vertical="center" wrapText="1"/>
    </xf>
    <xf numFmtId="165" fontId="19" fillId="4" borderId="2" xfId="2" applyNumberFormat="1" applyFont="1" applyFill="1" applyBorder="1" applyAlignment="1" applyProtection="1">
      <alignment horizontal="right" vertical="center" wrapText="1"/>
    </xf>
    <xf numFmtId="0" fontId="19" fillId="4" borderId="11" xfId="2" applyNumberFormat="1" applyFont="1" applyFill="1" applyBorder="1" applyProtection="1"/>
    <xf numFmtId="0" fontId="23" fillId="4" borderId="11" xfId="0" applyFont="1" applyFill="1" applyBorder="1" applyProtection="1"/>
    <xf numFmtId="44" fontId="23" fillId="4" borderId="2" xfId="2" applyFont="1" applyFill="1" applyBorder="1" applyAlignment="1" applyProtection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19" fillId="0" borderId="8" xfId="0" applyFont="1" applyBorder="1"/>
    <xf numFmtId="0" fontId="19" fillId="0" borderId="0" xfId="0" applyFont="1" applyBorder="1"/>
    <xf numFmtId="0" fontId="19" fillId="0" borderId="10" xfId="0" applyFont="1" applyBorder="1" applyAlignment="1">
      <alignment horizontal="left"/>
    </xf>
    <xf numFmtId="0" fontId="24" fillId="0" borderId="13" xfId="0" applyFont="1" applyFill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9" fillId="6" borderId="1" xfId="1" applyNumberFormat="1" applyFont="1" applyFill="1" applyBorder="1" applyAlignment="1" applyProtection="1">
      <alignment horizontal="center" wrapText="1"/>
      <protection locked="0"/>
    </xf>
    <xf numFmtId="165" fontId="19" fillId="0" borderId="10" xfId="2" applyNumberFormat="1" applyFont="1" applyFill="1" applyBorder="1" applyAlignment="1" applyProtection="1">
      <alignment horizontal="right" wrapText="1"/>
      <protection hidden="1"/>
    </xf>
    <xf numFmtId="2" fontId="19" fillId="0" borderId="10" xfId="2" applyNumberFormat="1" applyFont="1" applyBorder="1" applyAlignment="1">
      <alignment horizontal="center"/>
    </xf>
    <xf numFmtId="2" fontId="19" fillId="6" borderId="1" xfId="1" applyNumberFormat="1" applyFont="1" applyFill="1" applyBorder="1" applyAlignment="1" applyProtection="1">
      <alignment horizontal="center" wrapText="1"/>
      <protection locked="0"/>
    </xf>
    <xf numFmtId="166" fontId="19" fillId="0" borderId="10" xfId="0" applyNumberFormat="1" applyFont="1" applyFill="1" applyBorder="1" applyAlignment="1" applyProtection="1">
      <alignment horizontal="center"/>
      <protection hidden="1"/>
    </xf>
    <xf numFmtId="165" fontId="19" fillId="0" borderId="10" xfId="2" applyNumberFormat="1" applyFont="1" applyFill="1" applyBorder="1" applyProtection="1">
      <protection hidden="1"/>
    </xf>
    <xf numFmtId="0" fontId="19" fillId="5" borderId="1" xfId="0" applyFont="1" applyFill="1" applyBorder="1" applyAlignment="1">
      <alignment horizontal="left"/>
    </xf>
    <xf numFmtId="0" fontId="24" fillId="5" borderId="8" xfId="0" applyFont="1" applyFill="1" applyBorder="1" applyAlignment="1">
      <alignment horizontal="left"/>
    </xf>
    <xf numFmtId="165" fontId="19" fillId="5" borderId="1" xfId="2" applyNumberFormat="1" applyFont="1" applyFill="1" applyBorder="1" applyAlignment="1" applyProtection="1">
      <alignment horizontal="right" wrapText="1"/>
      <protection hidden="1"/>
    </xf>
    <xf numFmtId="166" fontId="19" fillId="5" borderId="1" xfId="2" applyNumberFormat="1" applyFont="1" applyFill="1" applyBorder="1" applyAlignment="1">
      <alignment horizontal="center"/>
    </xf>
    <xf numFmtId="2" fontId="19" fillId="5" borderId="10" xfId="2" applyNumberFormat="1" applyFont="1" applyFill="1" applyBorder="1" applyAlignment="1">
      <alignment horizontal="center"/>
    </xf>
    <xf numFmtId="166" fontId="19" fillId="5" borderId="1" xfId="0" applyNumberFormat="1" applyFont="1" applyFill="1" applyBorder="1" applyAlignment="1" applyProtection="1">
      <alignment horizontal="center"/>
      <protection hidden="1"/>
    </xf>
    <xf numFmtId="165" fontId="19" fillId="5" borderId="1" xfId="2" applyNumberFormat="1" applyFont="1" applyFill="1" applyBorder="1" applyProtection="1">
      <protection hidden="1"/>
    </xf>
    <xf numFmtId="0" fontId="24" fillId="0" borderId="8" xfId="0" applyFont="1" applyFill="1" applyBorder="1" applyAlignment="1">
      <alignment horizontal="left"/>
    </xf>
    <xf numFmtId="165" fontId="19" fillId="0" borderId="1" xfId="2" applyNumberFormat="1" applyFont="1" applyFill="1" applyBorder="1" applyAlignment="1" applyProtection="1">
      <alignment horizontal="right" wrapText="1"/>
      <protection hidden="1"/>
    </xf>
    <xf numFmtId="2" fontId="19" fillId="0" borderId="1" xfId="2" applyNumberFormat="1" applyFont="1" applyBorder="1" applyAlignment="1">
      <alignment horizontal="center"/>
    </xf>
    <xf numFmtId="166" fontId="19" fillId="0" borderId="1" xfId="0" applyNumberFormat="1" applyFont="1" applyFill="1" applyBorder="1" applyAlignment="1" applyProtection="1">
      <alignment horizontal="center"/>
      <protection hidden="1"/>
    </xf>
    <xf numFmtId="0" fontId="19" fillId="5" borderId="10" xfId="0" applyFont="1" applyFill="1" applyBorder="1" applyAlignment="1">
      <alignment horizontal="left"/>
    </xf>
    <xf numFmtId="2" fontId="19" fillId="5" borderId="1" xfId="2" applyNumberFormat="1" applyFont="1" applyFill="1" applyBorder="1" applyAlignment="1">
      <alignment horizontal="center"/>
    </xf>
    <xf numFmtId="2" fontId="19" fillId="0" borderId="10" xfId="0" applyNumberFormat="1" applyFont="1" applyFill="1" applyBorder="1" applyAlignment="1" applyProtection="1">
      <alignment horizontal="center"/>
      <protection hidden="1"/>
    </xf>
    <xf numFmtId="0" fontId="19" fillId="0" borderId="9" xfId="0" applyFont="1" applyFill="1" applyBorder="1"/>
    <xf numFmtId="0" fontId="19" fillId="0" borderId="0" xfId="0" applyFont="1" applyFill="1" applyBorder="1"/>
    <xf numFmtId="166" fontId="19" fillId="5" borderId="10" xfId="0" applyNumberFormat="1" applyFont="1" applyFill="1" applyBorder="1" applyAlignment="1" applyProtection="1">
      <alignment horizontal="center"/>
      <protection hidden="1"/>
    </xf>
    <xf numFmtId="0" fontId="19" fillId="5" borderId="1" xfId="0" applyFont="1" applyFill="1" applyBorder="1" applyAlignment="1"/>
    <xf numFmtId="0" fontId="19" fillId="0" borderId="1" xfId="0" applyFont="1" applyFill="1" applyBorder="1" applyAlignment="1">
      <alignment horizontal="center"/>
    </xf>
    <xf numFmtId="0" fontId="19" fillId="0" borderId="8" xfId="0" applyFont="1" applyFill="1" applyBorder="1"/>
    <xf numFmtId="2" fontId="13" fillId="0" borderId="1" xfId="2" applyNumberFormat="1" applyFont="1" applyBorder="1" applyAlignment="1">
      <alignment horizontal="center"/>
    </xf>
    <xf numFmtId="0" fontId="23" fillId="4" borderId="2" xfId="0" applyFont="1" applyFill="1" applyBorder="1" applyAlignment="1">
      <alignment horizontal="left"/>
    </xf>
    <xf numFmtId="0" fontId="24" fillId="4" borderId="12" xfId="0" applyFont="1" applyFill="1" applyBorder="1" applyAlignment="1">
      <alignment horizontal="left"/>
    </xf>
    <xf numFmtId="0" fontId="23" fillId="4" borderId="5" xfId="0" applyFont="1" applyFill="1" applyBorder="1" applyAlignment="1">
      <alignment horizontal="left"/>
    </xf>
    <xf numFmtId="0" fontId="19" fillId="4" borderId="2" xfId="0" applyFont="1" applyFill="1" applyBorder="1" applyAlignment="1">
      <alignment horizontal="left"/>
    </xf>
    <xf numFmtId="0" fontId="23" fillId="4" borderId="2" xfId="1" applyNumberFormat="1" applyFont="1" applyFill="1" applyBorder="1" applyAlignment="1">
      <alignment horizontal="center"/>
    </xf>
    <xf numFmtId="165" fontId="19" fillId="4" borderId="2" xfId="2" applyNumberFormat="1" applyFont="1" applyFill="1" applyBorder="1" applyAlignment="1" applyProtection="1">
      <alignment horizontal="right" wrapText="1"/>
      <protection hidden="1"/>
    </xf>
    <xf numFmtId="2" fontId="19" fillId="4" borderId="2" xfId="2" applyNumberFormat="1" applyFont="1" applyFill="1" applyBorder="1" applyAlignment="1">
      <alignment horizontal="center"/>
    </xf>
    <xf numFmtId="2" fontId="19" fillId="4" borderId="2" xfId="3" applyNumberFormat="1" applyFont="1" applyFill="1" applyBorder="1" applyAlignment="1">
      <alignment horizontal="center"/>
    </xf>
    <xf numFmtId="166" fontId="19" fillId="4" borderId="2" xfId="0" applyNumberFormat="1" applyFont="1" applyFill="1" applyBorder="1" applyAlignment="1" applyProtection="1">
      <alignment horizontal="center"/>
      <protection hidden="1"/>
    </xf>
    <xf numFmtId="165" fontId="19" fillId="4" borderId="2" xfId="2" applyNumberFormat="1" applyFont="1" applyFill="1" applyBorder="1" applyProtection="1">
      <protection hidden="1"/>
    </xf>
    <xf numFmtId="0" fontId="19" fillId="0" borderId="17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" xfId="0" applyFont="1" applyFill="1" applyBorder="1" applyAlignment="1">
      <alignment horizontal="left"/>
    </xf>
    <xf numFmtId="0" fontId="19" fillId="0" borderId="1" xfId="0" applyFont="1" applyBorder="1" applyAlignment="1">
      <alignment vertical="center"/>
    </xf>
    <xf numFmtId="0" fontId="19" fillId="3" borderId="1" xfId="0" applyFont="1" applyFill="1" applyBorder="1" applyAlignment="1">
      <alignment horizontal="center"/>
    </xf>
    <xf numFmtId="0" fontId="19" fillId="3" borderId="8" xfId="0" applyFont="1" applyFill="1" applyBorder="1"/>
    <xf numFmtId="0" fontId="24" fillId="5" borderId="13" xfId="0" applyFont="1" applyFill="1" applyBorder="1" applyAlignment="1">
      <alignment horizontal="left"/>
    </xf>
    <xf numFmtId="165" fontId="19" fillId="5" borderId="10" xfId="2" applyNumberFormat="1" applyFont="1" applyFill="1" applyBorder="1" applyAlignment="1" applyProtection="1">
      <alignment horizontal="right" wrapText="1"/>
      <protection hidden="1"/>
    </xf>
    <xf numFmtId="2" fontId="19" fillId="0" borderId="1" xfId="2" applyNumberFormat="1" applyFont="1" applyFill="1" applyBorder="1" applyAlignment="1">
      <alignment horizontal="center"/>
    </xf>
    <xf numFmtId="0" fontId="19" fillId="0" borderId="1" xfId="0" applyFont="1" applyBorder="1" applyAlignment="1"/>
    <xf numFmtId="0" fontId="19" fillId="0" borderId="10" xfId="0" applyFont="1" applyBorder="1" applyAlignment="1"/>
    <xf numFmtId="167" fontId="19" fillId="0" borderId="1" xfId="0" applyNumberFormat="1" applyFont="1" applyFill="1" applyBorder="1" applyAlignment="1" applyProtection="1">
      <alignment horizontal="center"/>
      <protection hidden="1"/>
    </xf>
    <xf numFmtId="0" fontId="24" fillId="0" borderId="8" xfId="0" applyFont="1" applyBorder="1" applyAlignment="1">
      <alignment horizontal="left"/>
    </xf>
    <xf numFmtId="2" fontId="19" fillId="0" borderId="10" xfId="2" applyNumberFormat="1" applyFont="1" applyFill="1" applyBorder="1" applyAlignment="1">
      <alignment horizontal="center"/>
    </xf>
    <xf numFmtId="2" fontId="13" fillId="5" borderId="1" xfId="2" applyNumberFormat="1" applyFont="1" applyFill="1" applyBorder="1" applyAlignment="1">
      <alignment horizontal="center"/>
    </xf>
    <xf numFmtId="2" fontId="28" fillId="5" borderId="1" xfId="2" applyNumberFormat="1" applyFont="1" applyFill="1" applyBorder="1" applyAlignment="1">
      <alignment horizontal="center"/>
    </xf>
    <xf numFmtId="166" fontId="29" fillId="5" borderId="1" xfId="0" applyNumberFormat="1" applyFont="1" applyFill="1" applyBorder="1" applyAlignment="1" applyProtection="1">
      <alignment horizontal="center"/>
      <protection hidden="1"/>
    </xf>
    <xf numFmtId="2" fontId="28" fillId="0" borderId="1" xfId="2" applyNumberFormat="1" applyFont="1" applyBorder="1" applyAlignment="1">
      <alignment horizontal="center"/>
    </xf>
    <xf numFmtId="166" fontId="29" fillId="0" borderId="1" xfId="0" applyNumberFormat="1" applyFont="1" applyFill="1" applyBorder="1" applyAlignment="1" applyProtection="1">
      <alignment horizontal="center"/>
      <protection hidden="1"/>
    </xf>
    <xf numFmtId="0" fontId="13" fillId="0" borderId="0" xfId="2" applyNumberFormat="1" applyFont="1" applyFill="1" applyBorder="1"/>
    <xf numFmtId="0" fontId="30" fillId="0" borderId="0" xfId="0" applyFont="1"/>
    <xf numFmtId="0" fontId="31" fillId="0" borderId="0" xfId="0" applyFont="1" applyAlignment="1"/>
    <xf numFmtId="0" fontId="32" fillId="0" borderId="0" xfId="0" applyFont="1"/>
    <xf numFmtId="0" fontId="32" fillId="0" borderId="0" xfId="0" applyFont="1" applyAlignment="1">
      <alignment horizontal="left"/>
    </xf>
    <xf numFmtId="0" fontId="24" fillId="8" borderId="8" xfId="0" applyFont="1" applyFill="1" applyBorder="1" applyAlignment="1">
      <alignment horizontal="left"/>
    </xf>
    <xf numFmtId="0" fontId="19" fillId="8" borderId="1" xfId="0" applyFont="1" applyFill="1" applyBorder="1" applyAlignment="1"/>
    <xf numFmtId="0" fontId="19" fillId="8" borderId="1" xfId="0" applyFont="1" applyFill="1" applyBorder="1" applyAlignment="1">
      <alignment horizontal="left"/>
    </xf>
    <xf numFmtId="165" fontId="19" fillId="8" borderId="1" xfId="2" applyNumberFormat="1" applyFont="1" applyFill="1" applyBorder="1" applyAlignment="1" applyProtection="1">
      <alignment horizontal="right" wrapText="1"/>
      <protection hidden="1"/>
    </xf>
    <xf numFmtId="2" fontId="19" fillId="8" borderId="1" xfId="2" applyNumberFormat="1" applyFont="1" applyFill="1" applyBorder="1" applyAlignment="1">
      <alignment horizontal="center"/>
    </xf>
    <xf numFmtId="2" fontId="19" fillId="8" borderId="10" xfId="2" applyNumberFormat="1" applyFont="1" applyFill="1" applyBorder="1" applyAlignment="1">
      <alignment horizontal="center"/>
    </xf>
    <xf numFmtId="166" fontId="19" fillId="8" borderId="1" xfId="0" applyNumberFormat="1" applyFont="1" applyFill="1" applyBorder="1" applyAlignment="1" applyProtection="1">
      <alignment horizontal="center"/>
      <protection hidden="1"/>
    </xf>
    <xf numFmtId="165" fontId="19" fillId="8" borderId="1" xfId="2" applyNumberFormat="1" applyFont="1" applyFill="1" applyBorder="1" applyProtection="1">
      <protection hidden="1"/>
    </xf>
    <xf numFmtId="0" fontId="19" fillId="9" borderId="1" xfId="0" applyFont="1" applyFill="1" applyBorder="1" applyAlignment="1">
      <alignment horizontal="left"/>
    </xf>
    <xf numFmtId="165" fontId="19" fillId="9" borderId="1" xfId="2" applyNumberFormat="1" applyFont="1" applyFill="1" applyBorder="1" applyAlignment="1" applyProtection="1">
      <alignment horizontal="right" wrapText="1"/>
      <protection hidden="1"/>
    </xf>
    <xf numFmtId="2" fontId="13" fillId="9" borderId="1" xfId="2" applyNumberFormat="1" applyFont="1" applyFill="1" applyBorder="1" applyAlignment="1">
      <alignment horizontal="center"/>
    </xf>
    <xf numFmtId="2" fontId="19" fillId="9" borderId="10" xfId="2" applyNumberFormat="1" applyFont="1" applyFill="1" applyBorder="1" applyAlignment="1">
      <alignment horizontal="center"/>
    </xf>
    <xf numFmtId="166" fontId="19" fillId="9" borderId="10" xfId="0" applyNumberFormat="1" applyFont="1" applyFill="1" applyBorder="1" applyAlignment="1" applyProtection="1">
      <alignment horizontal="center"/>
      <protection hidden="1"/>
    </xf>
    <xf numFmtId="165" fontId="19" fillId="9" borderId="10" xfId="2" applyNumberFormat="1" applyFont="1" applyFill="1" applyBorder="1" applyProtection="1">
      <protection hidden="1"/>
    </xf>
    <xf numFmtId="166" fontId="19" fillId="9" borderId="1" xfId="0" applyNumberFormat="1" applyFont="1" applyFill="1" applyBorder="1" applyAlignment="1" applyProtection="1">
      <alignment horizontal="center"/>
      <protection hidden="1"/>
    </xf>
    <xf numFmtId="2" fontId="19" fillId="9" borderId="1" xfId="2" applyNumberFormat="1" applyFont="1" applyFill="1" applyBorder="1" applyAlignment="1">
      <alignment horizontal="center"/>
    </xf>
    <xf numFmtId="166" fontId="19" fillId="8" borderId="10" xfId="0" applyNumberFormat="1" applyFont="1" applyFill="1" applyBorder="1" applyAlignment="1" applyProtection="1">
      <alignment horizontal="center"/>
      <protection hidden="1"/>
    </xf>
    <xf numFmtId="0" fontId="26" fillId="9" borderId="10" xfId="0" applyFont="1" applyFill="1" applyBorder="1" applyAlignment="1">
      <alignment horizontal="left" wrapText="1"/>
    </xf>
    <xf numFmtId="0" fontId="24" fillId="9" borderId="8" xfId="0" applyFont="1" applyFill="1" applyBorder="1" applyAlignment="1">
      <alignment horizontal="left"/>
    </xf>
    <xf numFmtId="0" fontId="19" fillId="8" borderId="10" xfId="0" applyFont="1" applyFill="1" applyBorder="1" applyAlignment="1">
      <alignment horizontal="left"/>
    </xf>
    <xf numFmtId="2" fontId="19" fillId="8" borderId="1" xfId="0" applyNumberFormat="1" applyFont="1" applyFill="1" applyBorder="1" applyAlignment="1" applyProtection="1">
      <alignment horizontal="center"/>
      <protection hidden="1"/>
    </xf>
    <xf numFmtId="167" fontId="19" fillId="9" borderId="1" xfId="0" applyNumberFormat="1" applyFont="1" applyFill="1" applyBorder="1" applyAlignment="1" applyProtection="1">
      <alignment horizontal="center"/>
      <protection hidden="1"/>
    </xf>
    <xf numFmtId="167" fontId="19" fillId="8" borderId="1" xfId="0" applyNumberFormat="1" applyFont="1" applyFill="1" applyBorder="1" applyAlignment="1" applyProtection="1">
      <alignment horizontal="center"/>
      <protection hidden="1"/>
    </xf>
    <xf numFmtId="2" fontId="33" fillId="0" borderId="1" xfId="2" applyNumberFormat="1" applyFont="1" applyBorder="1" applyAlignment="1" applyProtection="1">
      <alignment horizontal="center"/>
      <protection hidden="1"/>
    </xf>
    <xf numFmtId="167" fontId="33" fillId="0" borderId="1" xfId="0" applyNumberFormat="1" applyFont="1" applyBorder="1" applyAlignment="1" applyProtection="1">
      <alignment horizontal="center"/>
      <protection hidden="1"/>
    </xf>
    <xf numFmtId="0" fontId="19" fillId="0" borderId="16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5" borderId="16" xfId="0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left" vertical="center"/>
    </xf>
    <xf numFmtId="0" fontId="24" fillId="0" borderId="4" xfId="0" applyFont="1" applyFill="1" applyBorder="1" applyAlignment="1">
      <alignment horizontal="left" vertical="center"/>
    </xf>
    <xf numFmtId="0" fontId="24" fillId="0" borderId="10" xfId="0" applyFont="1" applyFill="1" applyBorder="1" applyAlignment="1">
      <alignment horizontal="left" vertical="center"/>
    </xf>
    <xf numFmtId="44" fontId="14" fillId="0" borderId="14" xfId="2" applyFont="1" applyBorder="1" applyAlignment="1" applyProtection="1">
      <alignment horizontal="left" wrapText="1"/>
      <protection locked="0"/>
    </xf>
    <xf numFmtId="44" fontId="14" fillId="0" borderId="15" xfId="2" applyFont="1" applyBorder="1" applyAlignment="1" applyProtection="1">
      <alignment horizontal="left" wrapText="1"/>
      <protection locked="0"/>
    </xf>
    <xf numFmtId="0" fontId="19" fillId="5" borderId="16" xfId="0" applyFont="1" applyFill="1" applyBorder="1" applyAlignment="1">
      <alignment horizontal="left" vertical="center" wrapText="1"/>
    </xf>
    <xf numFmtId="0" fontId="19" fillId="5" borderId="4" xfId="0" applyFont="1" applyFill="1" applyBorder="1" applyAlignment="1">
      <alignment horizontal="left" vertical="center" wrapText="1"/>
    </xf>
    <xf numFmtId="0" fontId="19" fillId="5" borderId="10" xfId="0" applyFont="1" applyFill="1" applyBorder="1" applyAlignment="1">
      <alignment horizontal="left" vertical="center" wrapText="1"/>
    </xf>
    <xf numFmtId="0" fontId="24" fillId="9" borderId="16" xfId="0" applyFont="1" applyFill="1" applyBorder="1" applyAlignment="1">
      <alignment horizontal="left" vertical="center"/>
    </xf>
    <xf numFmtId="0" fontId="24" fillId="9" borderId="10" xfId="0" applyFont="1" applyFill="1" applyBorder="1" applyAlignment="1">
      <alignment horizontal="left" vertical="center"/>
    </xf>
    <xf numFmtId="0" fontId="19" fillId="9" borderId="16" xfId="0" applyFont="1" applyFill="1" applyBorder="1" applyAlignment="1">
      <alignment horizontal="left" vertical="center" wrapText="1"/>
    </xf>
    <xf numFmtId="0" fontId="19" fillId="9" borderId="10" xfId="0" applyFont="1" applyFill="1" applyBorder="1" applyAlignment="1">
      <alignment horizontal="left" vertical="center"/>
    </xf>
    <xf numFmtId="0" fontId="19" fillId="9" borderId="16" xfId="0" applyFont="1" applyFill="1" applyBorder="1" applyAlignment="1">
      <alignment horizontal="center"/>
    </xf>
    <xf numFmtId="0" fontId="19" fillId="9" borderId="10" xfId="0" applyFont="1" applyFill="1" applyBorder="1" applyAlignment="1">
      <alignment horizontal="center"/>
    </xf>
    <xf numFmtId="0" fontId="19" fillId="5" borderId="16" xfId="0" applyFont="1" applyFill="1" applyBorder="1" applyAlignment="1">
      <alignment horizontal="center"/>
    </xf>
    <xf numFmtId="0" fontId="19" fillId="5" borderId="4" xfId="0" applyFont="1" applyFill="1" applyBorder="1" applyAlignment="1">
      <alignment horizontal="center"/>
    </xf>
    <xf numFmtId="0" fontId="19" fillId="5" borderId="10" xfId="0" applyFont="1" applyFill="1" applyBorder="1" applyAlignment="1">
      <alignment horizontal="center"/>
    </xf>
    <xf numFmtId="0" fontId="19" fillId="8" borderId="16" xfId="0" applyFont="1" applyFill="1" applyBorder="1" applyAlignment="1">
      <alignment horizontal="center"/>
    </xf>
    <xf numFmtId="0" fontId="19" fillId="8" borderId="4" xfId="0" applyFont="1" applyFill="1" applyBorder="1" applyAlignment="1">
      <alignment horizontal="center"/>
    </xf>
    <xf numFmtId="0" fontId="19" fillId="8" borderId="10" xfId="0" applyFont="1" applyFill="1" applyBorder="1" applyAlignment="1">
      <alignment horizontal="center"/>
    </xf>
    <xf numFmtId="0" fontId="13" fillId="0" borderId="0" xfId="0" applyFont="1" applyAlignment="1">
      <alignment horizontal="left" wrapText="1"/>
    </xf>
    <xf numFmtId="0" fontId="24" fillId="8" borderId="16" xfId="0" applyFont="1" applyFill="1" applyBorder="1" applyAlignment="1">
      <alignment horizontal="left" vertical="center"/>
    </xf>
    <xf numFmtId="0" fontId="24" fillId="8" borderId="10" xfId="0" applyFont="1" applyFill="1" applyBorder="1" applyAlignment="1">
      <alignment horizontal="left" vertical="center"/>
    </xf>
    <xf numFmtId="0" fontId="19" fillId="8" borderId="16" xfId="0" applyFont="1" applyFill="1" applyBorder="1" applyAlignment="1">
      <alignment horizontal="left" vertical="center"/>
    </xf>
    <xf numFmtId="0" fontId="19" fillId="8" borderId="10" xfId="0" applyFont="1" applyFill="1" applyBorder="1" applyAlignment="1">
      <alignment horizontal="left" vertical="center"/>
    </xf>
    <xf numFmtId="0" fontId="19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left" vertical="center"/>
    </xf>
    <xf numFmtId="0" fontId="24" fillId="5" borderId="10" xfId="0" applyFont="1" applyFill="1" applyBorder="1" applyAlignment="1">
      <alignment horizontal="left" vertical="center"/>
    </xf>
    <xf numFmtId="0" fontId="19" fillId="5" borderId="16" xfId="0" applyFont="1" applyFill="1" applyBorder="1" applyAlignment="1">
      <alignment horizontal="left" vertical="center"/>
    </xf>
    <xf numFmtId="0" fontId="19" fillId="5" borderId="10" xfId="0" applyFont="1" applyFill="1" applyBorder="1" applyAlignment="1">
      <alignment horizontal="left" vertical="center"/>
    </xf>
    <xf numFmtId="0" fontId="19" fillId="0" borderId="16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16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/>
    </xf>
    <xf numFmtId="0" fontId="19" fillId="0" borderId="16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4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2" fontId="19" fillId="0" borderId="3" xfId="2" applyNumberFormat="1" applyFont="1" applyFill="1" applyBorder="1" applyAlignment="1">
      <alignment horizontal="center" vertical="center" wrapText="1"/>
    </xf>
    <xf numFmtId="2" fontId="19" fillId="0" borderId="10" xfId="2" applyNumberFormat="1" applyFont="1" applyFill="1" applyBorder="1" applyAlignment="1">
      <alignment horizontal="center" vertical="center" wrapText="1"/>
    </xf>
    <xf numFmtId="0" fontId="19" fillId="8" borderId="16" xfId="0" applyFont="1" applyFill="1" applyBorder="1" applyAlignment="1">
      <alignment horizontal="left"/>
    </xf>
    <xf numFmtId="0" fontId="19" fillId="8" borderId="10" xfId="0" applyFont="1" applyFill="1" applyBorder="1" applyAlignment="1">
      <alignment horizontal="left"/>
    </xf>
    <xf numFmtId="0" fontId="19" fillId="0" borderId="16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164" fontId="4" fillId="0" borderId="0" xfId="1" applyNumberFormat="1" applyFont="1" applyFill="1" applyAlignment="1">
      <alignment horizontal="center"/>
    </xf>
    <xf numFmtId="44" fontId="5" fillId="0" borderId="0" xfId="2" applyFont="1" applyFill="1" applyAlignment="1">
      <alignment horizontal="center"/>
    </xf>
  </cellXfs>
  <cellStyles count="7">
    <cellStyle name="Comma" xfId="1" builtinId="3"/>
    <cellStyle name="Currency" xfId="2" builtinId="4"/>
    <cellStyle name="Hyperlink" xfId="6" builtinId="8"/>
    <cellStyle name="Normal" xfId="0" builtinId="0"/>
    <cellStyle name="Normal 104" xfId="4" xr:uid="{01AC4DAB-C2D2-4349-A10D-BD069403DB8D}"/>
    <cellStyle name="Normal 2" xfId="5" xr:uid="{B820C37A-9F79-4FA5-BE5F-B371E4A16EB7}"/>
    <cellStyle name="Percent" xfId="3" builtinId="5"/>
  </cellStyles>
  <dxfs count="0"/>
  <tableStyles count="0" defaultTableStyle="TableStyleMedium2" defaultPivotStyle="PivotStyleLight16"/>
  <colors>
    <mruColors>
      <color rgb="FFFFFFCC"/>
      <color rgb="FFFBF09D"/>
      <color rgb="FFFFFF99"/>
      <color rgb="FFFFFF66"/>
      <color rgb="FFDEE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sv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3138174</xdr:colOff>
      <xdr:row>27</xdr:row>
      <xdr:rowOff>39542</xdr:rowOff>
    </xdr:from>
    <xdr:to>
      <xdr:col>4</xdr:col>
      <xdr:colOff>3390910</xdr:colOff>
      <xdr:row>27</xdr:row>
      <xdr:rowOff>286108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F3DDFC7-F2E0-40B3-8265-5E7A1328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4138" y="10054399"/>
          <a:ext cx="252736" cy="246566"/>
        </a:xfrm>
        <a:prstGeom prst="rect">
          <a:avLst/>
        </a:prstGeom>
      </xdr:spPr>
    </xdr:pic>
    <xdr:clientData fLocksWithSheet="0"/>
  </xdr:twoCellAnchor>
  <xdr:twoCellAnchor editAs="oneCell">
    <xdr:from>
      <xdr:col>3</xdr:col>
      <xdr:colOff>0</xdr:colOff>
      <xdr:row>0</xdr:row>
      <xdr:rowOff>0</xdr:rowOff>
    </xdr:from>
    <xdr:to>
      <xdr:col>5</xdr:col>
      <xdr:colOff>1879550</xdr:colOff>
      <xdr:row>0</xdr:row>
      <xdr:rowOff>1639957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B4E349-79FF-461A-BC1C-7785CF84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391" y="0"/>
          <a:ext cx="7006485" cy="1639957"/>
        </a:xfrm>
        <a:prstGeom prst="rect">
          <a:avLst/>
        </a:prstGeom>
      </xdr:spPr>
    </xdr:pic>
    <xdr:clientData/>
  </xdr:twoCellAnchor>
  <xdr:oneCellAnchor>
    <xdr:from>
      <xdr:col>3</xdr:col>
      <xdr:colOff>381005</xdr:colOff>
      <xdr:row>5</xdr:row>
      <xdr:rowOff>0</xdr:rowOff>
    </xdr:from>
    <xdr:ext cx="295618" cy="298795"/>
    <xdr:pic>
      <xdr:nvPicPr>
        <xdr:cNvPr id="128" name="Graphic 127" descr="Home with solid fill">
          <a:extLst>
            <a:ext uri="{FF2B5EF4-FFF2-40B4-BE49-F238E27FC236}">
              <a16:creationId xmlns:a16="http://schemas.microsoft.com/office/drawing/2014/main" id="{9DD7FB16-7015-4660-8D94-9F24152D1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85112" y="2911929"/>
          <a:ext cx="295618" cy="298795"/>
        </a:xfrm>
        <a:prstGeom prst="rect">
          <a:avLst/>
        </a:prstGeom>
      </xdr:spPr>
    </xdr:pic>
    <xdr:clientData/>
  </xdr:oneCellAnchor>
  <xdr:oneCellAnchor>
    <xdr:from>
      <xdr:col>3</xdr:col>
      <xdr:colOff>369372</xdr:colOff>
      <xdr:row>6</xdr:row>
      <xdr:rowOff>42800</xdr:rowOff>
    </xdr:from>
    <xdr:ext cx="311726" cy="316831"/>
    <xdr:pic>
      <xdr:nvPicPr>
        <xdr:cNvPr id="129" name="Graphic 128" descr="Flowers in pot with solid fill">
          <a:extLst>
            <a:ext uri="{FF2B5EF4-FFF2-40B4-BE49-F238E27FC236}">
              <a16:creationId xmlns:a16="http://schemas.microsoft.com/office/drawing/2014/main" id="{2D434028-692C-4AE1-93F4-4663EAE26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73479" y="3254086"/>
          <a:ext cx="311726" cy="316831"/>
        </a:xfrm>
        <a:prstGeom prst="rect">
          <a:avLst/>
        </a:prstGeom>
      </xdr:spPr>
    </xdr:pic>
    <xdr:clientData/>
  </xdr:oneCellAnchor>
  <xdr:oneCellAnchor>
    <xdr:from>
      <xdr:col>3</xdr:col>
      <xdr:colOff>378596</xdr:colOff>
      <xdr:row>4</xdr:row>
      <xdr:rowOff>24814</xdr:rowOff>
    </xdr:from>
    <xdr:ext cx="320492" cy="318791"/>
    <xdr:pic>
      <xdr:nvPicPr>
        <xdr:cNvPr id="130" name="Graphic 129" descr="Golf Flag In Hole with solid fill">
          <a:extLst>
            <a:ext uri="{FF2B5EF4-FFF2-40B4-BE49-F238E27FC236}">
              <a16:creationId xmlns:a16="http://schemas.microsoft.com/office/drawing/2014/main" id="{362277E0-EB3D-4EA7-8FE1-B2D74EE75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82703" y="2596564"/>
          <a:ext cx="320492" cy="318791"/>
        </a:xfrm>
        <a:prstGeom prst="rect">
          <a:avLst/>
        </a:prstGeom>
      </xdr:spPr>
    </xdr:pic>
    <xdr:clientData/>
  </xdr:oneCellAnchor>
  <xdr:oneCellAnchor>
    <xdr:from>
      <xdr:col>3</xdr:col>
      <xdr:colOff>720374</xdr:colOff>
      <xdr:row>11</xdr:row>
      <xdr:rowOff>14170</xdr:rowOff>
    </xdr:from>
    <xdr:ext cx="283387" cy="283387"/>
    <xdr:pic>
      <xdr:nvPicPr>
        <xdr:cNvPr id="253" name="Graphic 252" descr="Flowers in pot with solid fill">
          <a:extLst>
            <a:ext uri="{FF2B5EF4-FFF2-40B4-BE49-F238E27FC236}">
              <a16:creationId xmlns:a16="http://schemas.microsoft.com/office/drawing/2014/main" id="{606F63F7-89D4-4415-A497-2A84281B8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6624" y="4626991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10</xdr:row>
      <xdr:rowOff>14568</xdr:rowOff>
    </xdr:from>
    <xdr:ext cx="291356" cy="294995"/>
    <xdr:pic>
      <xdr:nvPicPr>
        <xdr:cNvPr id="254" name="Graphic 253" descr="Golf Flag In Hole with solid fill">
          <a:extLst>
            <a:ext uri="{FF2B5EF4-FFF2-40B4-BE49-F238E27FC236}">
              <a16:creationId xmlns:a16="http://schemas.microsoft.com/office/drawing/2014/main" id="{3864F664-E6FB-495A-8155-30EF166A7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3979349"/>
          <a:ext cx="291356" cy="294995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10</xdr:row>
      <xdr:rowOff>13581</xdr:rowOff>
    </xdr:from>
    <xdr:ext cx="268744" cy="271632"/>
    <xdr:pic>
      <xdr:nvPicPr>
        <xdr:cNvPr id="255" name="Graphic 254" descr="Home with solid fill">
          <a:extLst>
            <a:ext uri="{FF2B5EF4-FFF2-40B4-BE49-F238E27FC236}">
              <a16:creationId xmlns:a16="http://schemas.microsoft.com/office/drawing/2014/main" id="{3BD29D12-C0C9-4FA9-9EC3-2925B028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3978362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733981</xdr:colOff>
      <xdr:row>46</xdr:row>
      <xdr:rowOff>14170</xdr:rowOff>
    </xdr:from>
    <xdr:ext cx="283387" cy="283387"/>
    <xdr:pic>
      <xdr:nvPicPr>
        <xdr:cNvPr id="256" name="Graphic 255" descr="Flowers in pot with solid fill">
          <a:extLst>
            <a:ext uri="{FF2B5EF4-FFF2-40B4-BE49-F238E27FC236}">
              <a16:creationId xmlns:a16="http://schemas.microsoft.com/office/drawing/2014/main" id="{85716E78-3854-405B-996A-5C5142A88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0231" y="15294991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733981</xdr:colOff>
      <xdr:row>47</xdr:row>
      <xdr:rowOff>14170</xdr:rowOff>
    </xdr:from>
    <xdr:ext cx="283387" cy="283387"/>
    <xdr:pic>
      <xdr:nvPicPr>
        <xdr:cNvPr id="257" name="Graphic 256" descr="Flowers in pot with solid fill">
          <a:extLst>
            <a:ext uri="{FF2B5EF4-FFF2-40B4-BE49-F238E27FC236}">
              <a16:creationId xmlns:a16="http://schemas.microsoft.com/office/drawing/2014/main" id="{5D8DFB3E-E7F5-4F9C-9DAC-78FF1C71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0231" y="15594349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733981</xdr:colOff>
      <xdr:row>48</xdr:row>
      <xdr:rowOff>14170</xdr:rowOff>
    </xdr:from>
    <xdr:ext cx="283387" cy="283387"/>
    <xdr:pic>
      <xdr:nvPicPr>
        <xdr:cNvPr id="258" name="Graphic 257" descr="Flowers in pot with solid fill">
          <a:extLst>
            <a:ext uri="{FF2B5EF4-FFF2-40B4-BE49-F238E27FC236}">
              <a16:creationId xmlns:a16="http://schemas.microsoft.com/office/drawing/2014/main" id="{9E91E868-71CA-440C-8E5B-DC59109B8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0231" y="15893706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733981</xdr:colOff>
      <xdr:row>49</xdr:row>
      <xdr:rowOff>136637</xdr:rowOff>
    </xdr:from>
    <xdr:ext cx="283387" cy="283387"/>
    <xdr:pic>
      <xdr:nvPicPr>
        <xdr:cNvPr id="260" name="Graphic 259" descr="Flowers in pot with solid fill">
          <a:extLst>
            <a:ext uri="{FF2B5EF4-FFF2-40B4-BE49-F238E27FC236}">
              <a16:creationId xmlns:a16="http://schemas.microsoft.com/office/drawing/2014/main" id="{A74B84D1-C65E-4A63-83D2-9444046FB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0231" y="16560458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733984</xdr:colOff>
      <xdr:row>51</xdr:row>
      <xdr:rowOff>14170</xdr:rowOff>
    </xdr:from>
    <xdr:ext cx="283387" cy="283387"/>
    <xdr:pic>
      <xdr:nvPicPr>
        <xdr:cNvPr id="261" name="Graphic 260" descr="Flowers in pot with solid fill">
          <a:extLst>
            <a:ext uri="{FF2B5EF4-FFF2-40B4-BE49-F238E27FC236}">
              <a16:creationId xmlns:a16="http://schemas.microsoft.com/office/drawing/2014/main" id="{EC1EEE48-AB1B-4566-92A9-6B02A698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0234" y="16791777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733981</xdr:colOff>
      <xdr:row>52</xdr:row>
      <xdr:rowOff>150243</xdr:rowOff>
    </xdr:from>
    <xdr:ext cx="283387" cy="283387"/>
    <xdr:pic>
      <xdr:nvPicPr>
        <xdr:cNvPr id="263" name="Graphic 262" descr="Flowers in pot with solid fill">
          <a:extLst>
            <a:ext uri="{FF2B5EF4-FFF2-40B4-BE49-F238E27FC236}">
              <a16:creationId xmlns:a16="http://schemas.microsoft.com/office/drawing/2014/main" id="{EAB1FEF6-66EC-4ADD-9221-1B85F46E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0231" y="17472136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733981</xdr:colOff>
      <xdr:row>54</xdr:row>
      <xdr:rowOff>14170</xdr:rowOff>
    </xdr:from>
    <xdr:ext cx="283387" cy="283387"/>
    <xdr:pic>
      <xdr:nvPicPr>
        <xdr:cNvPr id="264" name="Graphic 263" descr="Flowers in pot with solid fill">
          <a:extLst>
            <a:ext uri="{FF2B5EF4-FFF2-40B4-BE49-F238E27FC236}">
              <a16:creationId xmlns:a16="http://schemas.microsoft.com/office/drawing/2014/main" id="{B4534A61-5C1F-48FE-9FC4-43BD9E79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0231" y="17689849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733981</xdr:colOff>
      <xdr:row>55</xdr:row>
      <xdr:rowOff>14170</xdr:rowOff>
    </xdr:from>
    <xdr:ext cx="283387" cy="283387"/>
    <xdr:pic>
      <xdr:nvPicPr>
        <xdr:cNvPr id="265" name="Graphic 264" descr="Flowers in pot with solid fill">
          <a:extLst>
            <a:ext uri="{FF2B5EF4-FFF2-40B4-BE49-F238E27FC236}">
              <a16:creationId xmlns:a16="http://schemas.microsoft.com/office/drawing/2014/main" id="{8CD5C5F6-A679-42C3-8E07-43F76F8F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0231" y="17989206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733984</xdr:colOff>
      <xdr:row>56</xdr:row>
      <xdr:rowOff>177458</xdr:rowOff>
    </xdr:from>
    <xdr:ext cx="283387" cy="283387"/>
    <xdr:pic>
      <xdr:nvPicPr>
        <xdr:cNvPr id="267" name="Graphic 266" descr="Flowers in pot with solid fill">
          <a:extLst>
            <a:ext uri="{FF2B5EF4-FFF2-40B4-BE49-F238E27FC236}">
              <a16:creationId xmlns:a16="http://schemas.microsoft.com/office/drawing/2014/main" id="{1660415B-B6F1-42E7-A0BF-A1B86014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0234" y="18696779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720374</xdr:colOff>
      <xdr:row>65</xdr:row>
      <xdr:rowOff>14170</xdr:rowOff>
    </xdr:from>
    <xdr:ext cx="283387" cy="283387"/>
    <xdr:pic>
      <xdr:nvPicPr>
        <xdr:cNvPr id="268" name="Graphic 267" descr="Flowers in pot with solid fill">
          <a:extLst>
            <a:ext uri="{FF2B5EF4-FFF2-40B4-BE49-F238E27FC236}">
              <a16:creationId xmlns:a16="http://schemas.microsoft.com/office/drawing/2014/main" id="{86F4F554-0CAD-43B7-8AFA-6F79947E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6624" y="20873920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720374</xdr:colOff>
      <xdr:row>70</xdr:row>
      <xdr:rowOff>177454</xdr:rowOff>
    </xdr:from>
    <xdr:ext cx="283387" cy="283387"/>
    <xdr:pic>
      <xdr:nvPicPr>
        <xdr:cNvPr id="269" name="Graphic 268" descr="Flowers in pot with solid fill">
          <a:extLst>
            <a:ext uri="{FF2B5EF4-FFF2-40B4-BE49-F238E27FC236}">
              <a16:creationId xmlns:a16="http://schemas.microsoft.com/office/drawing/2014/main" id="{29E35D9A-DCB5-4AE0-895D-31B653A1F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924481" y="23173525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720374</xdr:colOff>
      <xdr:row>79</xdr:row>
      <xdr:rowOff>14170</xdr:rowOff>
    </xdr:from>
    <xdr:ext cx="283387" cy="283387"/>
    <xdr:pic>
      <xdr:nvPicPr>
        <xdr:cNvPr id="270" name="Graphic 269" descr="Flowers in pot with solid fill">
          <a:extLst>
            <a:ext uri="{FF2B5EF4-FFF2-40B4-BE49-F238E27FC236}">
              <a16:creationId xmlns:a16="http://schemas.microsoft.com/office/drawing/2014/main" id="{464F60EB-A689-4901-B228-B19A0FECF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6624" y="24656706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720374</xdr:colOff>
      <xdr:row>80</xdr:row>
      <xdr:rowOff>163850</xdr:rowOff>
    </xdr:from>
    <xdr:ext cx="283387" cy="283387"/>
    <xdr:pic>
      <xdr:nvPicPr>
        <xdr:cNvPr id="272" name="Graphic 271" descr="Flowers in pot with solid fill">
          <a:extLst>
            <a:ext uri="{FF2B5EF4-FFF2-40B4-BE49-F238E27FC236}">
              <a16:creationId xmlns:a16="http://schemas.microsoft.com/office/drawing/2014/main" id="{CF8A21C0-9447-471F-862F-947134E34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6624" y="25377886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12</xdr:row>
      <xdr:rowOff>14568</xdr:rowOff>
    </xdr:from>
    <xdr:ext cx="291356" cy="294557"/>
    <xdr:pic>
      <xdr:nvPicPr>
        <xdr:cNvPr id="273" name="Graphic 272" descr="Golf Flag In Hole with solid fill">
          <a:extLst>
            <a:ext uri="{FF2B5EF4-FFF2-40B4-BE49-F238E27FC236}">
              <a16:creationId xmlns:a16="http://schemas.microsoft.com/office/drawing/2014/main" id="{1324C3D2-4764-48BC-92B3-7203F6F68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4598474"/>
          <a:ext cx="291356" cy="294557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12</xdr:row>
      <xdr:rowOff>13581</xdr:rowOff>
    </xdr:from>
    <xdr:ext cx="268744" cy="271632"/>
    <xdr:pic>
      <xdr:nvPicPr>
        <xdr:cNvPr id="274" name="Graphic 273" descr="Home with solid fill">
          <a:extLst>
            <a:ext uri="{FF2B5EF4-FFF2-40B4-BE49-F238E27FC236}">
              <a16:creationId xmlns:a16="http://schemas.microsoft.com/office/drawing/2014/main" id="{1A404E54-2667-44AC-BF14-22700971B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4597487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13</xdr:row>
      <xdr:rowOff>14568</xdr:rowOff>
    </xdr:from>
    <xdr:ext cx="291356" cy="291356"/>
    <xdr:pic>
      <xdr:nvPicPr>
        <xdr:cNvPr id="275" name="Graphic 274" descr="Golf Flag In Hole with solid fill">
          <a:extLst>
            <a:ext uri="{FF2B5EF4-FFF2-40B4-BE49-F238E27FC236}">
              <a16:creationId xmlns:a16="http://schemas.microsoft.com/office/drawing/2014/main" id="{17A9A7EC-FF55-425B-BF2E-2D0C0AC5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4908037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13</xdr:row>
      <xdr:rowOff>13581</xdr:rowOff>
    </xdr:from>
    <xdr:ext cx="268744" cy="271632"/>
    <xdr:pic>
      <xdr:nvPicPr>
        <xdr:cNvPr id="276" name="Graphic 275" descr="Home with solid fill">
          <a:extLst>
            <a:ext uri="{FF2B5EF4-FFF2-40B4-BE49-F238E27FC236}">
              <a16:creationId xmlns:a16="http://schemas.microsoft.com/office/drawing/2014/main" id="{EB68BB0D-053E-4ADF-BD38-2B75DD4C5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4907050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17</xdr:row>
      <xdr:rowOff>164248</xdr:rowOff>
    </xdr:from>
    <xdr:ext cx="291356" cy="291356"/>
    <xdr:pic>
      <xdr:nvPicPr>
        <xdr:cNvPr id="285" name="Graphic 284" descr="Golf Flag In Hole with solid fill">
          <a:extLst>
            <a:ext uri="{FF2B5EF4-FFF2-40B4-BE49-F238E27FC236}">
              <a16:creationId xmlns:a16="http://schemas.microsoft.com/office/drawing/2014/main" id="{926F0566-0A79-40F9-BBFC-9D384CB4F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6804534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17</xdr:row>
      <xdr:rowOff>163261</xdr:rowOff>
    </xdr:from>
    <xdr:ext cx="268744" cy="271632"/>
    <xdr:pic>
      <xdr:nvPicPr>
        <xdr:cNvPr id="286" name="Graphic 285" descr="Home with solid fill">
          <a:extLst>
            <a:ext uri="{FF2B5EF4-FFF2-40B4-BE49-F238E27FC236}">
              <a16:creationId xmlns:a16="http://schemas.microsoft.com/office/drawing/2014/main" id="{0E164932-C3F5-4C0A-9DC0-E0C98FF23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504" y="6803547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20</xdr:row>
      <xdr:rowOff>28178</xdr:rowOff>
    </xdr:from>
    <xdr:ext cx="291356" cy="291356"/>
    <xdr:pic>
      <xdr:nvPicPr>
        <xdr:cNvPr id="291" name="Graphic 290" descr="Golf Flag In Hole with solid fill">
          <a:extLst>
            <a:ext uri="{FF2B5EF4-FFF2-40B4-BE49-F238E27FC236}">
              <a16:creationId xmlns:a16="http://schemas.microsoft.com/office/drawing/2014/main" id="{21B5D74A-E438-437E-B871-3F0BF920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7566535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20</xdr:row>
      <xdr:rowOff>27191</xdr:rowOff>
    </xdr:from>
    <xdr:ext cx="268744" cy="271632"/>
    <xdr:pic>
      <xdr:nvPicPr>
        <xdr:cNvPr id="292" name="Graphic 291" descr="Home with solid fill">
          <a:extLst>
            <a:ext uri="{FF2B5EF4-FFF2-40B4-BE49-F238E27FC236}">
              <a16:creationId xmlns:a16="http://schemas.microsoft.com/office/drawing/2014/main" id="{96384B1A-E972-47E0-BC65-8ECC06437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504" y="7565548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22</xdr:row>
      <xdr:rowOff>164249</xdr:rowOff>
    </xdr:from>
    <xdr:ext cx="291356" cy="291356"/>
    <xdr:pic>
      <xdr:nvPicPr>
        <xdr:cNvPr id="295" name="Graphic 294" descr="Golf Flag In Hole with solid fill">
          <a:extLst>
            <a:ext uri="{FF2B5EF4-FFF2-40B4-BE49-F238E27FC236}">
              <a16:creationId xmlns:a16="http://schemas.microsoft.com/office/drawing/2014/main" id="{ACF30966-FFD0-4C4B-9B0C-68DD3DD7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8301320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22</xdr:row>
      <xdr:rowOff>163262</xdr:rowOff>
    </xdr:from>
    <xdr:ext cx="268744" cy="271632"/>
    <xdr:pic>
      <xdr:nvPicPr>
        <xdr:cNvPr id="296" name="Graphic 295" descr="Home with solid fill">
          <a:extLst>
            <a:ext uri="{FF2B5EF4-FFF2-40B4-BE49-F238E27FC236}">
              <a16:creationId xmlns:a16="http://schemas.microsoft.com/office/drawing/2014/main" id="{05385652-93CF-4947-B806-0800FDDC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504" y="8300333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24</xdr:row>
      <xdr:rowOff>164248</xdr:rowOff>
    </xdr:from>
    <xdr:ext cx="291356" cy="291356"/>
    <xdr:pic>
      <xdr:nvPicPr>
        <xdr:cNvPr id="299" name="Graphic 298" descr="Golf Flag In Hole with solid fill">
          <a:extLst>
            <a:ext uri="{FF2B5EF4-FFF2-40B4-BE49-F238E27FC236}">
              <a16:creationId xmlns:a16="http://schemas.microsoft.com/office/drawing/2014/main" id="{03CC6493-3405-4838-BADE-2030F380B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8900034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24</xdr:row>
      <xdr:rowOff>163261</xdr:rowOff>
    </xdr:from>
    <xdr:ext cx="268744" cy="271632"/>
    <xdr:pic>
      <xdr:nvPicPr>
        <xdr:cNvPr id="300" name="Graphic 299" descr="Home with solid fill">
          <a:extLst>
            <a:ext uri="{FF2B5EF4-FFF2-40B4-BE49-F238E27FC236}">
              <a16:creationId xmlns:a16="http://schemas.microsoft.com/office/drawing/2014/main" id="{B0007459-2112-4DB6-A4B4-8E409DF4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504" y="8899047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30</xdr:row>
      <xdr:rowOff>14568</xdr:rowOff>
    </xdr:from>
    <xdr:ext cx="291356" cy="291356"/>
    <xdr:pic>
      <xdr:nvPicPr>
        <xdr:cNvPr id="311" name="Graphic 310" descr="Golf Flag In Hole with solid fill">
          <a:extLst>
            <a:ext uri="{FF2B5EF4-FFF2-40B4-BE49-F238E27FC236}">
              <a16:creationId xmlns:a16="http://schemas.microsoft.com/office/drawing/2014/main" id="{85206891-DBD2-4FA6-8867-F8ACB3AA8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10480162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30</xdr:row>
      <xdr:rowOff>13581</xdr:rowOff>
    </xdr:from>
    <xdr:ext cx="268744" cy="271632"/>
    <xdr:pic>
      <xdr:nvPicPr>
        <xdr:cNvPr id="312" name="Graphic 311" descr="Home with solid fill">
          <a:extLst>
            <a:ext uri="{FF2B5EF4-FFF2-40B4-BE49-F238E27FC236}">
              <a16:creationId xmlns:a16="http://schemas.microsoft.com/office/drawing/2014/main" id="{4EF45D90-D5C5-4F44-A6DF-CEF8A6D3B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10479175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32</xdr:row>
      <xdr:rowOff>164248</xdr:rowOff>
    </xdr:from>
    <xdr:ext cx="291356" cy="291356"/>
    <xdr:pic>
      <xdr:nvPicPr>
        <xdr:cNvPr id="317" name="Graphic 316" descr="Golf Flag In Hole with solid fill">
          <a:extLst>
            <a:ext uri="{FF2B5EF4-FFF2-40B4-BE49-F238E27FC236}">
              <a16:creationId xmlns:a16="http://schemas.microsoft.com/office/drawing/2014/main" id="{80A9FAAE-D1F4-4977-91B0-9FF11F03F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11893605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32</xdr:row>
      <xdr:rowOff>163261</xdr:rowOff>
    </xdr:from>
    <xdr:ext cx="268744" cy="271632"/>
    <xdr:pic>
      <xdr:nvPicPr>
        <xdr:cNvPr id="318" name="Graphic 317" descr="Home with solid fill">
          <a:extLst>
            <a:ext uri="{FF2B5EF4-FFF2-40B4-BE49-F238E27FC236}">
              <a16:creationId xmlns:a16="http://schemas.microsoft.com/office/drawing/2014/main" id="{DD3BCBAF-E94A-4F47-B6E9-699DB868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504" y="11892618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34</xdr:row>
      <xdr:rowOff>164249</xdr:rowOff>
    </xdr:from>
    <xdr:ext cx="291356" cy="291356"/>
    <xdr:pic>
      <xdr:nvPicPr>
        <xdr:cNvPr id="321" name="Graphic 320" descr="Golf Flag In Hole with solid fill">
          <a:extLst>
            <a:ext uri="{FF2B5EF4-FFF2-40B4-BE49-F238E27FC236}">
              <a16:creationId xmlns:a16="http://schemas.microsoft.com/office/drawing/2014/main" id="{00937482-A0F9-4AB5-BE80-A2E425E5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12492320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34</xdr:row>
      <xdr:rowOff>163262</xdr:rowOff>
    </xdr:from>
    <xdr:ext cx="268744" cy="271632"/>
    <xdr:pic>
      <xdr:nvPicPr>
        <xdr:cNvPr id="322" name="Graphic 321" descr="Home with solid fill">
          <a:extLst>
            <a:ext uri="{FF2B5EF4-FFF2-40B4-BE49-F238E27FC236}">
              <a16:creationId xmlns:a16="http://schemas.microsoft.com/office/drawing/2014/main" id="{437A5F91-AC45-4258-B565-B24E6C421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504" y="12491333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37</xdr:row>
      <xdr:rowOff>150641</xdr:rowOff>
    </xdr:from>
    <xdr:ext cx="291356" cy="291356"/>
    <xdr:pic>
      <xdr:nvPicPr>
        <xdr:cNvPr id="325" name="Graphic 324" descr="Golf Flag In Hole with solid fill">
          <a:extLst>
            <a:ext uri="{FF2B5EF4-FFF2-40B4-BE49-F238E27FC236}">
              <a16:creationId xmlns:a16="http://schemas.microsoft.com/office/drawing/2014/main" id="{D7386AF0-EEE3-4707-A56F-545007245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13281534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436585</xdr:colOff>
      <xdr:row>39</xdr:row>
      <xdr:rowOff>14926</xdr:rowOff>
    </xdr:from>
    <xdr:ext cx="266083" cy="268943"/>
    <xdr:pic>
      <xdr:nvPicPr>
        <xdr:cNvPr id="328" name="Graphic 327" descr="Home with solid fill">
          <a:extLst>
            <a:ext uri="{FF2B5EF4-FFF2-40B4-BE49-F238E27FC236}">
              <a16:creationId xmlns:a16="http://schemas.microsoft.com/office/drawing/2014/main" id="{C3A87A14-9709-4D93-A2CD-ED55DB2E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2835" y="13744533"/>
          <a:ext cx="266083" cy="268943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40</xdr:row>
      <xdr:rowOff>149654</xdr:rowOff>
    </xdr:from>
    <xdr:ext cx="268744" cy="271632"/>
    <xdr:pic>
      <xdr:nvPicPr>
        <xdr:cNvPr id="332" name="Graphic 331" descr="Home with solid fill">
          <a:extLst>
            <a:ext uri="{FF2B5EF4-FFF2-40B4-BE49-F238E27FC236}">
              <a16:creationId xmlns:a16="http://schemas.microsoft.com/office/drawing/2014/main" id="{0BD1105B-8757-4EBB-BEF3-FEFE07214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504" y="14178618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42</xdr:row>
      <xdr:rowOff>14568</xdr:rowOff>
    </xdr:from>
    <xdr:ext cx="291356" cy="291356"/>
    <xdr:pic>
      <xdr:nvPicPr>
        <xdr:cNvPr id="333" name="Graphic 332" descr="Golf Flag In Hole with solid fill">
          <a:extLst>
            <a:ext uri="{FF2B5EF4-FFF2-40B4-BE49-F238E27FC236}">
              <a16:creationId xmlns:a16="http://schemas.microsoft.com/office/drawing/2014/main" id="{AB9BB216-3CFC-40E7-AB63-B47DCAD85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14075849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42</xdr:row>
      <xdr:rowOff>13581</xdr:rowOff>
    </xdr:from>
    <xdr:ext cx="268744" cy="271632"/>
    <xdr:pic>
      <xdr:nvPicPr>
        <xdr:cNvPr id="334" name="Graphic 333" descr="Home with solid fill">
          <a:extLst>
            <a:ext uri="{FF2B5EF4-FFF2-40B4-BE49-F238E27FC236}">
              <a16:creationId xmlns:a16="http://schemas.microsoft.com/office/drawing/2014/main" id="{7CBB6152-F402-4A23-A9D6-F0898A19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14074862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43</xdr:row>
      <xdr:rowOff>14568</xdr:rowOff>
    </xdr:from>
    <xdr:ext cx="291356" cy="291356"/>
    <xdr:pic>
      <xdr:nvPicPr>
        <xdr:cNvPr id="335" name="Graphic 334" descr="Golf Flag In Hole with solid fill">
          <a:extLst>
            <a:ext uri="{FF2B5EF4-FFF2-40B4-BE49-F238E27FC236}">
              <a16:creationId xmlns:a16="http://schemas.microsoft.com/office/drawing/2014/main" id="{B323441D-EC0C-4D77-BE38-BF8240C55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14385412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43</xdr:row>
      <xdr:rowOff>13581</xdr:rowOff>
    </xdr:from>
    <xdr:ext cx="268744" cy="271632"/>
    <xdr:pic>
      <xdr:nvPicPr>
        <xdr:cNvPr id="336" name="Graphic 335" descr="Home with solid fill">
          <a:extLst>
            <a:ext uri="{FF2B5EF4-FFF2-40B4-BE49-F238E27FC236}">
              <a16:creationId xmlns:a16="http://schemas.microsoft.com/office/drawing/2014/main" id="{A0646C9D-E8D5-401B-B670-1850264D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14384425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59</xdr:row>
      <xdr:rowOff>14568</xdr:rowOff>
    </xdr:from>
    <xdr:ext cx="291356" cy="291356"/>
    <xdr:pic>
      <xdr:nvPicPr>
        <xdr:cNvPr id="337" name="Graphic 336" descr="Golf Flag In Hole with solid fill">
          <a:extLst>
            <a:ext uri="{FF2B5EF4-FFF2-40B4-BE49-F238E27FC236}">
              <a16:creationId xmlns:a16="http://schemas.microsoft.com/office/drawing/2014/main" id="{ACA2650B-3992-4FBE-8201-86E46B040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18909787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59</xdr:row>
      <xdr:rowOff>13581</xdr:rowOff>
    </xdr:from>
    <xdr:ext cx="268744" cy="271632"/>
    <xdr:pic>
      <xdr:nvPicPr>
        <xdr:cNvPr id="338" name="Graphic 337" descr="Home with solid fill">
          <a:extLst>
            <a:ext uri="{FF2B5EF4-FFF2-40B4-BE49-F238E27FC236}">
              <a16:creationId xmlns:a16="http://schemas.microsoft.com/office/drawing/2014/main" id="{2CC11A72-067C-46C0-8750-FFF792B7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18908800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60</xdr:row>
      <xdr:rowOff>14568</xdr:rowOff>
    </xdr:from>
    <xdr:ext cx="291356" cy="291356"/>
    <xdr:pic>
      <xdr:nvPicPr>
        <xdr:cNvPr id="339" name="Graphic 338" descr="Golf Flag In Hole with solid fill">
          <a:extLst>
            <a:ext uri="{FF2B5EF4-FFF2-40B4-BE49-F238E27FC236}">
              <a16:creationId xmlns:a16="http://schemas.microsoft.com/office/drawing/2014/main" id="{750080B3-96A4-4096-910A-3163E1EAA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19219349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60</xdr:row>
      <xdr:rowOff>13581</xdr:rowOff>
    </xdr:from>
    <xdr:ext cx="268744" cy="271632"/>
    <xdr:pic>
      <xdr:nvPicPr>
        <xdr:cNvPr id="340" name="Graphic 339" descr="Home with solid fill">
          <a:extLst>
            <a:ext uri="{FF2B5EF4-FFF2-40B4-BE49-F238E27FC236}">
              <a16:creationId xmlns:a16="http://schemas.microsoft.com/office/drawing/2014/main" id="{4719232C-3ABB-4030-AB28-71179E094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19218362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61</xdr:row>
      <xdr:rowOff>14568</xdr:rowOff>
    </xdr:from>
    <xdr:ext cx="291356" cy="291356"/>
    <xdr:pic>
      <xdr:nvPicPr>
        <xdr:cNvPr id="341" name="Graphic 340" descr="Golf Flag In Hole with solid fill">
          <a:extLst>
            <a:ext uri="{FF2B5EF4-FFF2-40B4-BE49-F238E27FC236}">
              <a16:creationId xmlns:a16="http://schemas.microsoft.com/office/drawing/2014/main" id="{44E1FD4A-9DD6-4D51-915C-9499EE8A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19528912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61</xdr:row>
      <xdr:rowOff>13581</xdr:rowOff>
    </xdr:from>
    <xdr:ext cx="268744" cy="271632"/>
    <xdr:pic>
      <xdr:nvPicPr>
        <xdr:cNvPr id="342" name="Graphic 341" descr="Home with solid fill">
          <a:extLst>
            <a:ext uri="{FF2B5EF4-FFF2-40B4-BE49-F238E27FC236}">
              <a16:creationId xmlns:a16="http://schemas.microsoft.com/office/drawing/2014/main" id="{8F905A2D-12C4-4AB0-9A3E-C1AF4D2E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19527925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62</xdr:row>
      <xdr:rowOff>170433</xdr:rowOff>
    </xdr:from>
    <xdr:ext cx="291356" cy="291356"/>
    <xdr:pic>
      <xdr:nvPicPr>
        <xdr:cNvPr id="345" name="Graphic 344" descr="Golf Flag In Hole with solid fill">
          <a:extLst>
            <a:ext uri="{FF2B5EF4-FFF2-40B4-BE49-F238E27FC236}">
              <a16:creationId xmlns:a16="http://schemas.microsoft.com/office/drawing/2014/main" id="{407C54DC-7FB4-4C58-B294-32157DA98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81119" y="21021524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62</xdr:row>
      <xdr:rowOff>169446</xdr:rowOff>
    </xdr:from>
    <xdr:ext cx="268744" cy="271632"/>
    <xdr:pic>
      <xdr:nvPicPr>
        <xdr:cNvPr id="346" name="Graphic 345" descr="Home with solid fill">
          <a:extLst>
            <a:ext uri="{FF2B5EF4-FFF2-40B4-BE49-F238E27FC236}">
              <a16:creationId xmlns:a16="http://schemas.microsoft.com/office/drawing/2014/main" id="{FD21EF63-CE56-4C0F-BB38-728684054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20163" y="21020537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64</xdr:row>
      <xdr:rowOff>14568</xdr:rowOff>
    </xdr:from>
    <xdr:ext cx="291356" cy="291356"/>
    <xdr:pic>
      <xdr:nvPicPr>
        <xdr:cNvPr id="348" name="Graphic 347" descr="Golf Flag In Hole with solid fill">
          <a:extLst>
            <a:ext uri="{FF2B5EF4-FFF2-40B4-BE49-F238E27FC236}">
              <a16:creationId xmlns:a16="http://schemas.microsoft.com/office/drawing/2014/main" id="{CE6834F7-9B3C-4DF4-A819-E9A96B167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20457599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64</xdr:row>
      <xdr:rowOff>13581</xdr:rowOff>
    </xdr:from>
    <xdr:ext cx="268744" cy="271632"/>
    <xdr:pic>
      <xdr:nvPicPr>
        <xdr:cNvPr id="350" name="Graphic 349" descr="Home with solid fill">
          <a:extLst>
            <a:ext uri="{FF2B5EF4-FFF2-40B4-BE49-F238E27FC236}">
              <a16:creationId xmlns:a16="http://schemas.microsoft.com/office/drawing/2014/main" id="{E188F854-0B1E-4CC9-B84D-73609CDE5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20456612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66</xdr:row>
      <xdr:rowOff>14568</xdr:rowOff>
    </xdr:from>
    <xdr:ext cx="291356" cy="291356"/>
    <xdr:pic>
      <xdr:nvPicPr>
        <xdr:cNvPr id="352" name="Graphic 351" descr="Golf Flag In Hole with solid fill">
          <a:extLst>
            <a:ext uri="{FF2B5EF4-FFF2-40B4-BE49-F238E27FC236}">
              <a16:creationId xmlns:a16="http://schemas.microsoft.com/office/drawing/2014/main" id="{F2F0DB62-5749-4EAD-9AFB-8A5FD19BD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21076724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66</xdr:row>
      <xdr:rowOff>13581</xdr:rowOff>
    </xdr:from>
    <xdr:ext cx="268744" cy="271632"/>
    <xdr:pic>
      <xdr:nvPicPr>
        <xdr:cNvPr id="354" name="Graphic 353" descr="Home with solid fill">
          <a:extLst>
            <a:ext uri="{FF2B5EF4-FFF2-40B4-BE49-F238E27FC236}">
              <a16:creationId xmlns:a16="http://schemas.microsoft.com/office/drawing/2014/main" id="{9444418F-0782-4396-9092-B22236AC5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21075737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67</xdr:row>
      <xdr:rowOff>170434</xdr:rowOff>
    </xdr:from>
    <xdr:ext cx="291356" cy="291356"/>
    <xdr:pic>
      <xdr:nvPicPr>
        <xdr:cNvPr id="360" name="Graphic 359" descr="Golf Flag In Hole with solid fill">
          <a:extLst>
            <a:ext uri="{FF2B5EF4-FFF2-40B4-BE49-F238E27FC236}">
              <a16:creationId xmlns:a16="http://schemas.microsoft.com/office/drawing/2014/main" id="{6AAFDDE7-66E9-48D1-AEB0-83B16DB7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81119" y="22580161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67</xdr:row>
      <xdr:rowOff>169447</xdr:rowOff>
    </xdr:from>
    <xdr:ext cx="268744" cy="271632"/>
    <xdr:pic>
      <xdr:nvPicPr>
        <xdr:cNvPr id="362" name="Graphic 361" descr="Home with solid fill">
          <a:extLst>
            <a:ext uri="{FF2B5EF4-FFF2-40B4-BE49-F238E27FC236}">
              <a16:creationId xmlns:a16="http://schemas.microsoft.com/office/drawing/2014/main" id="{14FBDDA9-5BFD-4480-80CE-951ADD96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20163" y="22579174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69</xdr:row>
      <xdr:rowOff>14568</xdr:rowOff>
    </xdr:from>
    <xdr:ext cx="291356" cy="291356"/>
    <xdr:pic>
      <xdr:nvPicPr>
        <xdr:cNvPr id="364" name="Graphic 363" descr="Golf Flag In Hole with solid fill">
          <a:extLst>
            <a:ext uri="{FF2B5EF4-FFF2-40B4-BE49-F238E27FC236}">
              <a16:creationId xmlns:a16="http://schemas.microsoft.com/office/drawing/2014/main" id="{AD416445-60F5-4E3D-8970-AE961926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22005412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69</xdr:row>
      <xdr:rowOff>13581</xdr:rowOff>
    </xdr:from>
    <xdr:ext cx="268744" cy="271632"/>
    <xdr:pic>
      <xdr:nvPicPr>
        <xdr:cNvPr id="366" name="Graphic 365" descr="Home with solid fill">
          <a:extLst>
            <a:ext uri="{FF2B5EF4-FFF2-40B4-BE49-F238E27FC236}">
              <a16:creationId xmlns:a16="http://schemas.microsoft.com/office/drawing/2014/main" id="{F73B3605-FE35-49DF-BE69-399746F3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22004425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72</xdr:row>
      <xdr:rowOff>14568</xdr:rowOff>
    </xdr:from>
    <xdr:ext cx="291356" cy="291356"/>
    <xdr:pic>
      <xdr:nvPicPr>
        <xdr:cNvPr id="368" name="Graphic 367" descr="Golf Flag In Hole with solid fill">
          <a:extLst>
            <a:ext uri="{FF2B5EF4-FFF2-40B4-BE49-F238E27FC236}">
              <a16:creationId xmlns:a16="http://schemas.microsoft.com/office/drawing/2014/main" id="{74CE50A1-8154-4939-941B-8EBCD87E8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22624537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72</xdr:row>
      <xdr:rowOff>13581</xdr:rowOff>
    </xdr:from>
    <xdr:ext cx="268744" cy="271632"/>
    <xdr:pic>
      <xdr:nvPicPr>
        <xdr:cNvPr id="370" name="Graphic 369" descr="Home with solid fill">
          <a:extLst>
            <a:ext uri="{FF2B5EF4-FFF2-40B4-BE49-F238E27FC236}">
              <a16:creationId xmlns:a16="http://schemas.microsoft.com/office/drawing/2014/main" id="{79D065CF-81FC-45CA-AFCF-58E378F8E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22623550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73</xdr:row>
      <xdr:rowOff>14568</xdr:rowOff>
    </xdr:from>
    <xdr:ext cx="291356" cy="291356"/>
    <xdr:pic>
      <xdr:nvPicPr>
        <xdr:cNvPr id="372" name="Graphic 371" descr="Golf Flag In Hole with solid fill">
          <a:extLst>
            <a:ext uri="{FF2B5EF4-FFF2-40B4-BE49-F238E27FC236}">
              <a16:creationId xmlns:a16="http://schemas.microsoft.com/office/drawing/2014/main" id="{EABFF358-D9C0-4087-AA38-24FAEA659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336085" y="22934099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73</xdr:row>
      <xdr:rowOff>13581</xdr:rowOff>
    </xdr:from>
    <xdr:ext cx="268744" cy="271632"/>
    <xdr:pic>
      <xdr:nvPicPr>
        <xdr:cNvPr id="374" name="Graphic 373" descr="Home with solid fill">
          <a:extLst>
            <a:ext uri="{FF2B5EF4-FFF2-40B4-BE49-F238E27FC236}">
              <a16:creationId xmlns:a16="http://schemas.microsoft.com/office/drawing/2014/main" id="{C90E678E-69D3-4A48-AA39-F7510A9DB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4675129" y="22933112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74</xdr:row>
      <xdr:rowOff>138544</xdr:rowOff>
    </xdr:from>
    <xdr:ext cx="291356" cy="291356"/>
    <xdr:pic>
      <xdr:nvPicPr>
        <xdr:cNvPr id="376" name="Graphic 375" descr="Golf Flag In Hole with solid fill">
          <a:extLst>
            <a:ext uri="{FF2B5EF4-FFF2-40B4-BE49-F238E27FC236}">
              <a16:creationId xmlns:a16="http://schemas.microsoft.com/office/drawing/2014/main" id="{4DDFF67E-5130-4A28-814C-FC9F11B74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81119" y="24418635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77</xdr:row>
      <xdr:rowOff>177855</xdr:rowOff>
    </xdr:from>
    <xdr:ext cx="291356" cy="291356"/>
    <xdr:pic>
      <xdr:nvPicPr>
        <xdr:cNvPr id="490" name="Graphic 489" descr="Golf Flag In Hole with solid fill">
          <a:extLst>
            <a:ext uri="{FF2B5EF4-FFF2-40B4-BE49-F238E27FC236}">
              <a16:creationId xmlns:a16="http://schemas.microsoft.com/office/drawing/2014/main" id="{982CFB79-C4F9-4506-9698-BC1F64974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24493819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77</xdr:row>
      <xdr:rowOff>176868</xdr:rowOff>
    </xdr:from>
    <xdr:ext cx="268744" cy="271632"/>
    <xdr:pic>
      <xdr:nvPicPr>
        <xdr:cNvPr id="491" name="Graphic 490" descr="Home with solid fill">
          <a:extLst>
            <a:ext uri="{FF2B5EF4-FFF2-40B4-BE49-F238E27FC236}">
              <a16:creationId xmlns:a16="http://schemas.microsoft.com/office/drawing/2014/main" id="{CB691A03-317E-447B-8AD7-9D279BA11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504" y="24492832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733418</xdr:colOff>
      <xdr:row>45</xdr:row>
      <xdr:rowOff>0</xdr:rowOff>
    </xdr:from>
    <xdr:ext cx="283387" cy="283387"/>
    <xdr:pic>
      <xdr:nvPicPr>
        <xdr:cNvPr id="492" name="Graphic 491" descr="Flowers in pot with solid fill">
          <a:extLst>
            <a:ext uri="{FF2B5EF4-FFF2-40B4-BE49-F238E27FC236}">
              <a16:creationId xmlns:a16="http://schemas.microsoft.com/office/drawing/2014/main" id="{48A68377-40F0-45C5-A749-C4BFBD26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09668" y="15008679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95249</xdr:colOff>
      <xdr:row>45</xdr:row>
      <xdr:rowOff>0</xdr:rowOff>
    </xdr:from>
    <xdr:ext cx="291356" cy="291356"/>
    <xdr:pic>
      <xdr:nvPicPr>
        <xdr:cNvPr id="493" name="Graphic 492" descr="Golf Flag In Hole with solid fill">
          <a:extLst>
            <a:ext uri="{FF2B5EF4-FFF2-40B4-BE49-F238E27FC236}">
              <a16:creationId xmlns:a16="http://schemas.microsoft.com/office/drawing/2014/main" id="{80CD6A96-C475-4C1A-B571-52C632257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1499" y="15008679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27</xdr:row>
      <xdr:rowOff>14568</xdr:rowOff>
    </xdr:from>
    <xdr:ext cx="291356" cy="291356"/>
    <xdr:pic>
      <xdr:nvPicPr>
        <xdr:cNvPr id="495" name="Graphic 494" descr="Golf Flag In Hole with solid fill">
          <a:extLst>
            <a:ext uri="{FF2B5EF4-FFF2-40B4-BE49-F238E27FC236}">
              <a16:creationId xmlns:a16="http://schemas.microsoft.com/office/drawing/2014/main" id="{F0C8658A-0F7E-4091-A0BF-F9E397695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81317" y="8900032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27</xdr:row>
      <xdr:rowOff>13581</xdr:rowOff>
    </xdr:from>
    <xdr:ext cx="268744" cy="271632"/>
    <xdr:pic>
      <xdr:nvPicPr>
        <xdr:cNvPr id="496" name="Graphic 495" descr="Home with solid fill">
          <a:extLst>
            <a:ext uri="{FF2B5EF4-FFF2-40B4-BE49-F238E27FC236}">
              <a16:creationId xmlns:a16="http://schemas.microsoft.com/office/drawing/2014/main" id="{A8FA998C-C71C-4651-9846-E91C54C29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20361" y="8899045"/>
          <a:ext cx="268744" cy="271632"/>
        </a:xfrm>
        <a:prstGeom prst="rect">
          <a:avLst/>
        </a:prstGeom>
      </xdr:spPr>
    </xdr:pic>
    <xdr:clientData/>
  </xdr:oneCellAnchor>
  <xdr:twoCellAnchor editAs="oneCell">
    <xdr:from>
      <xdr:col>3</xdr:col>
      <xdr:colOff>367389</xdr:colOff>
      <xdr:row>7</xdr:row>
      <xdr:rowOff>54428</xdr:rowOff>
    </xdr:from>
    <xdr:to>
      <xdr:col>3</xdr:col>
      <xdr:colOff>645399</xdr:colOff>
      <xdr:row>7</xdr:row>
      <xdr:rowOff>333102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4ED00EA4-61F6-431A-9980-3EB97B52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6" y="3605892"/>
          <a:ext cx="278010" cy="278674"/>
        </a:xfrm>
        <a:prstGeom prst="rect">
          <a:avLst/>
        </a:prstGeom>
      </xdr:spPr>
    </xdr:pic>
    <xdr:clientData/>
  </xdr:twoCellAnchor>
  <xdr:oneCellAnchor>
    <xdr:from>
      <xdr:col>3</xdr:col>
      <xdr:colOff>435424</xdr:colOff>
      <xdr:row>46</xdr:row>
      <xdr:rowOff>27214</xdr:rowOff>
    </xdr:from>
    <xdr:ext cx="268744" cy="271632"/>
    <xdr:pic>
      <xdr:nvPicPr>
        <xdr:cNvPr id="516" name="Graphic 515" descr="Home with solid fill">
          <a:extLst>
            <a:ext uri="{FF2B5EF4-FFF2-40B4-BE49-F238E27FC236}">
              <a16:creationId xmlns:a16="http://schemas.microsoft.com/office/drawing/2014/main" id="{BA893FF8-BE79-4F06-9597-00E83705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674" y="15552964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435424</xdr:colOff>
      <xdr:row>45</xdr:row>
      <xdr:rowOff>13607</xdr:rowOff>
    </xdr:from>
    <xdr:ext cx="268744" cy="271632"/>
    <xdr:pic>
      <xdr:nvPicPr>
        <xdr:cNvPr id="518" name="Graphic 517" descr="Home with solid fill">
          <a:extLst>
            <a:ext uri="{FF2B5EF4-FFF2-40B4-BE49-F238E27FC236}">
              <a16:creationId xmlns:a16="http://schemas.microsoft.com/office/drawing/2014/main" id="{5ED5329A-D894-48F4-9800-611852A79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674" y="15240000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421817</xdr:colOff>
      <xdr:row>55</xdr:row>
      <xdr:rowOff>0</xdr:rowOff>
    </xdr:from>
    <xdr:ext cx="268744" cy="271632"/>
    <xdr:pic>
      <xdr:nvPicPr>
        <xdr:cNvPr id="520" name="Graphic 519" descr="Home with solid fill">
          <a:extLst>
            <a:ext uri="{FF2B5EF4-FFF2-40B4-BE49-F238E27FC236}">
              <a16:creationId xmlns:a16="http://schemas.microsoft.com/office/drawing/2014/main" id="{A8E90B8C-4292-4151-B1FB-F6DBA04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98067" y="17975036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421817</xdr:colOff>
      <xdr:row>56</xdr:row>
      <xdr:rowOff>176895</xdr:rowOff>
    </xdr:from>
    <xdr:ext cx="268744" cy="271632"/>
    <xdr:pic>
      <xdr:nvPicPr>
        <xdr:cNvPr id="522" name="Graphic 521" descr="Home with solid fill">
          <a:extLst>
            <a:ext uri="{FF2B5EF4-FFF2-40B4-BE49-F238E27FC236}">
              <a16:creationId xmlns:a16="http://schemas.microsoft.com/office/drawing/2014/main" id="{7AC9B079-7488-4635-B038-1641FAAA7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98067" y="18696216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421817</xdr:colOff>
      <xdr:row>52</xdr:row>
      <xdr:rowOff>163287</xdr:rowOff>
    </xdr:from>
    <xdr:ext cx="268744" cy="271632"/>
    <xdr:pic>
      <xdr:nvPicPr>
        <xdr:cNvPr id="524" name="Graphic 523" descr="Home with solid fill">
          <a:extLst>
            <a:ext uri="{FF2B5EF4-FFF2-40B4-BE49-F238E27FC236}">
              <a16:creationId xmlns:a16="http://schemas.microsoft.com/office/drawing/2014/main" id="{8D127F56-79DE-480B-A20D-9024BA234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98067" y="17485180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421817</xdr:colOff>
      <xdr:row>49</xdr:row>
      <xdr:rowOff>149681</xdr:rowOff>
    </xdr:from>
    <xdr:ext cx="268744" cy="271632"/>
    <xdr:pic>
      <xdr:nvPicPr>
        <xdr:cNvPr id="528" name="Graphic 527" descr="Home with solid fill">
          <a:extLst>
            <a:ext uri="{FF2B5EF4-FFF2-40B4-BE49-F238E27FC236}">
              <a16:creationId xmlns:a16="http://schemas.microsoft.com/office/drawing/2014/main" id="{7617D156-9664-4DF9-B85B-AB4C4710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98067" y="16573502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435424</xdr:colOff>
      <xdr:row>65</xdr:row>
      <xdr:rowOff>0</xdr:rowOff>
    </xdr:from>
    <xdr:ext cx="268744" cy="271632"/>
    <xdr:pic>
      <xdr:nvPicPr>
        <xdr:cNvPr id="531" name="Graphic 530" descr="Home with solid fill">
          <a:extLst>
            <a:ext uri="{FF2B5EF4-FFF2-40B4-BE49-F238E27FC236}">
              <a16:creationId xmlns:a16="http://schemas.microsoft.com/office/drawing/2014/main" id="{4980DB3E-9EBD-4C18-B90A-6F75C01A6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674" y="20859750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721171</xdr:colOff>
      <xdr:row>30</xdr:row>
      <xdr:rowOff>0</xdr:rowOff>
    </xdr:from>
    <xdr:ext cx="283387" cy="283387"/>
    <xdr:pic>
      <xdr:nvPicPr>
        <xdr:cNvPr id="533" name="Graphic 532" descr="Flowers in pot with solid fill">
          <a:extLst>
            <a:ext uri="{FF2B5EF4-FFF2-40B4-BE49-F238E27FC236}">
              <a16:creationId xmlns:a16="http://schemas.microsoft.com/office/drawing/2014/main" id="{DC0449E1-F388-4830-B82A-5A06CC30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7421" y="10899321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734778</xdr:colOff>
      <xdr:row>59</xdr:row>
      <xdr:rowOff>0</xdr:rowOff>
    </xdr:from>
    <xdr:ext cx="283387" cy="283387"/>
    <xdr:pic>
      <xdr:nvPicPr>
        <xdr:cNvPr id="537" name="Graphic 536" descr="Flowers in pot with solid fill">
          <a:extLst>
            <a:ext uri="{FF2B5EF4-FFF2-40B4-BE49-F238E27FC236}">
              <a16:creationId xmlns:a16="http://schemas.microsoft.com/office/drawing/2014/main" id="{8AC8196D-00AF-447A-A7BC-2E31BDBC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1028" y="19063607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734778</xdr:colOff>
      <xdr:row>60</xdr:row>
      <xdr:rowOff>0</xdr:rowOff>
    </xdr:from>
    <xdr:ext cx="283387" cy="283387"/>
    <xdr:pic>
      <xdr:nvPicPr>
        <xdr:cNvPr id="538" name="Graphic 537" descr="Flowers in pot with solid fill">
          <a:extLst>
            <a:ext uri="{FF2B5EF4-FFF2-40B4-BE49-F238E27FC236}">
              <a16:creationId xmlns:a16="http://schemas.microsoft.com/office/drawing/2014/main" id="{B693A9E6-E577-4D25-8C1B-0A091116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1028" y="19362964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734778</xdr:colOff>
      <xdr:row>61</xdr:row>
      <xdr:rowOff>0</xdr:rowOff>
    </xdr:from>
    <xdr:ext cx="283387" cy="283387"/>
    <xdr:pic>
      <xdr:nvPicPr>
        <xdr:cNvPr id="539" name="Graphic 538" descr="Flowers in pot with solid fill">
          <a:extLst>
            <a:ext uri="{FF2B5EF4-FFF2-40B4-BE49-F238E27FC236}">
              <a16:creationId xmlns:a16="http://schemas.microsoft.com/office/drawing/2014/main" id="{21160324-AA4E-4087-9C6C-771130231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1028" y="19662321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734778</xdr:colOff>
      <xdr:row>64</xdr:row>
      <xdr:rowOff>0</xdr:rowOff>
    </xdr:from>
    <xdr:ext cx="283387" cy="283387"/>
    <xdr:pic>
      <xdr:nvPicPr>
        <xdr:cNvPr id="542" name="Graphic 541" descr="Flowers in pot with solid fill">
          <a:extLst>
            <a:ext uri="{FF2B5EF4-FFF2-40B4-BE49-F238E27FC236}">
              <a16:creationId xmlns:a16="http://schemas.microsoft.com/office/drawing/2014/main" id="{19B8A6E8-D117-4104-ACFD-FBDFDF34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1028" y="20560393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734778</xdr:colOff>
      <xdr:row>62</xdr:row>
      <xdr:rowOff>155865</xdr:rowOff>
    </xdr:from>
    <xdr:ext cx="283387" cy="283387"/>
    <xdr:pic>
      <xdr:nvPicPr>
        <xdr:cNvPr id="543" name="Graphic 542" descr="Flowers in pot with solid fill">
          <a:extLst>
            <a:ext uri="{FF2B5EF4-FFF2-40B4-BE49-F238E27FC236}">
              <a16:creationId xmlns:a16="http://schemas.microsoft.com/office/drawing/2014/main" id="{1DA9E550-5EE2-4FA5-A8A4-4239E82DB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19687" y="21006956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721171</xdr:colOff>
      <xdr:row>66</xdr:row>
      <xdr:rowOff>0</xdr:rowOff>
    </xdr:from>
    <xdr:ext cx="283387" cy="283387"/>
    <xdr:pic>
      <xdr:nvPicPr>
        <xdr:cNvPr id="545" name="Graphic 544" descr="Flowers in pot with solid fill">
          <a:extLst>
            <a:ext uri="{FF2B5EF4-FFF2-40B4-BE49-F238E27FC236}">
              <a16:creationId xmlns:a16="http://schemas.microsoft.com/office/drawing/2014/main" id="{48031BF9-6EE9-41BB-BA18-1D94D75DC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7421" y="21159107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721171</xdr:colOff>
      <xdr:row>69</xdr:row>
      <xdr:rowOff>0</xdr:rowOff>
    </xdr:from>
    <xdr:ext cx="283387" cy="283387"/>
    <xdr:pic>
      <xdr:nvPicPr>
        <xdr:cNvPr id="546" name="Graphic 545" descr="Flowers in pot with solid fill">
          <a:extLst>
            <a:ext uri="{FF2B5EF4-FFF2-40B4-BE49-F238E27FC236}">
              <a16:creationId xmlns:a16="http://schemas.microsoft.com/office/drawing/2014/main" id="{91105974-ED86-4AA7-AFA6-C1503247A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7421" y="22057179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721171</xdr:colOff>
      <xdr:row>72</xdr:row>
      <xdr:rowOff>0</xdr:rowOff>
    </xdr:from>
    <xdr:ext cx="283387" cy="283387"/>
    <xdr:pic>
      <xdr:nvPicPr>
        <xdr:cNvPr id="547" name="Graphic 546" descr="Flowers in pot with solid fill">
          <a:extLst>
            <a:ext uri="{FF2B5EF4-FFF2-40B4-BE49-F238E27FC236}">
              <a16:creationId xmlns:a16="http://schemas.microsoft.com/office/drawing/2014/main" id="{1D220B3F-F930-471C-B2E2-D619A3133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7421" y="22655893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721171</xdr:colOff>
      <xdr:row>73</xdr:row>
      <xdr:rowOff>0</xdr:rowOff>
    </xdr:from>
    <xdr:ext cx="283387" cy="283387"/>
    <xdr:pic>
      <xdr:nvPicPr>
        <xdr:cNvPr id="549" name="Graphic 548" descr="Flowers in pot with solid fill">
          <a:extLst>
            <a:ext uri="{FF2B5EF4-FFF2-40B4-BE49-F238E27FC236}">
              <a16:creationId xmlns:a16="http://schemas.microsoft.com/office/drawing/2014/main" id="{7BEAFB71-058B-476B-8FAC-C15737CC2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7421" y="22955250"/>
          <a:ext cx="283387" cy="283387"/>
        </a:xfrm>
        <a:prstGeom prst="rect">
          <a:avLst/>
        </a:prstGeom>
      </xdr:spPr>
    </xdr:pic>
    <xdr:clientData/>
  </xdr:oneCellAnchor>
  <xdr:oneCellAnchor>
    <xdr:from>
      <xdr:col>3</xdr:col>
      <xdr:colOff>435424</xdr:colOff>
      <xdr:row>11</xdr:row>
      <xdr:rowOff>0</xdr:rowOff>
    </xdr:from>
    <xdr:ext cx="268744" cy="271632"/>
    <xdr:pic>
      <xdr:nvPicPr>
        <xdr:cNvPr id="550" name="Graphic 549" descr="Home with solid fill">
          <a:extLst>
            <a:ext uri="{FF2B5EF4-FFF2-40B4-BE49-F238E27FC236}">
              <a16:creationId xmlns:a16="http://schemas.microsoft.com/office/drawing/2014/main" id="{4FDA0C0C-8F79-4A44-9E8B-ADA98C54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674" y="4612821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435424</xdr:colOff>
      <xdr:row>37</xdr:row>
      <xdr:rowOff>188027</xdr:rowOff>
    </xdr:from>
    <xdr:ext cx="266083" cy="268943"/>
    <xdr:pic>
      <xdr:nvPicPr>
        <xdr:cNvPr id="552" name="Graphic 551" descr="Home with solid fill">
          <a:extLst>
            <a:ext uri="{FF2B5EF4-FFF2-40B4-BE49-F238E27FC236}">
              <a16:creationId xmlns:a16="http://schemas.microsoft.com/office/drawing/2014/main" id="{CC064EBD-13C6-40DA-B926-C5C2D49D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20333" y="13661572"/>
          <a:ext cx="266083" cy="268943"/>
        </a:xfrm>
        <a:prstGeom prst="rect">
          <a:avLst/>
        </a:prstGeom>
      </xdr:spPr>
    </xdr:pic>
    <xdr:clientData/>
  </xdr:oneCellAnchor>
  <xdr:oneCellAnchor>
    <xdr:from>
      <xdr:col>3</xdr:col>
      <xdr:colOff>435424</xdr:colOff>
      <xdr:row>70</xdr:row>
      <xdr:rowOff>163284</xdr:rowOff>
    </xdr:from>
    <xdr:ext cx="268744" cy="271632"/>
    <xdr:pic>
      <xdr:nvPicPr>
        <xdr:cNvPr id="554" name="Graphic 553" descr="Home with solid fill">
          <a:extLst>
            <a:ext uri="{FF2B5EF4-FFF2-40B4-BE49-F238E27FC236}">
              <a16:creationId xmlns:a16="http://schemas.microsoft.com/office/drawing/2014/main" id="{F006DFD9-AB79-4A53-BDAF-A06694105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39531" y="23159355"/>
          <a:ext cx="268744" cy="271632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13</xdr:row>
      <xdr:rowOff>14568</xdr:rowOff>
    </xdr:from>
    <xdr:ext cx="291356" cy="294557"/>
    <xdr:pic>
      <xdr:nvPicPr>
        <xdr:cNvPr id="158" name="Graphic 157" descr="Golf Flag In Hole with solid fill">
          <a:extLst>
            <a:ext uri="{FF2B5EF4-FFF2-40B4-BE49-F238E27FC236}">
              <a16:creationId xmlns:a16="http://schemas.microsoft.com/office/drawing/2014/main" id="{6E83BFD8-B8C2-4344-B2C2-B0D27A6C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5158068"/>
          <a:ext cx="291356" cy="294557"/>
        </a:xfrm>
        <a:prstGeom prst="rect">
          <a:avLst/>
        </a:prstGeom>
      </xdr:spPr>
    </xdr:pic>
    <xdr:clientData/>
  </xdr:oneCellAnchor>
  <xdr:oneCellAnchor>
    <xdr:from>
      <xdr:col>3</xdr:col>
      <xdr:colOff>96210</xdr:colOff>
      <xdr:row>15</xdr:row>
      <xdr:rowOff>14565</xdr:rowOff>
    </xdr:from>
    <xdr:ext cx="291356" cy="291356"/>
    <xdr:pic>
      <xdr:nvPicPr>
        <xdr:cNvPr id="159" name="Graphic 158" descr="Golf Flag In Hole with solid fill">
          <a:extLst>
            <a:ext uri="{FF2B5EF4-FFF2-40B4-BE49-F238E27FC236}">
              <a16:creationId xmlns:a16="http://schemas.microsoft.com/office/drawing/2014/main" id="{B6E17F80-753F-4F3D-A238-78FAFDA1B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460" y="6056136"/>
          <a:ext cx="291356" cy="291356"/>
        </a:xfrm>
        <a:prstGeom prst="rect">
          <a:avLst/>
        </a:prstGeom>
      </xdr:spPr>
    </xdr:pic>
    <xdr:clientData/>
  </xdr:oneCellAnchor>
  <xdr:oneCellAnchor>
    <xdr:from>
      <xdr:col>3</xdr:col>
      <xdr:colOff>435254</xdr:colOff>
      <xdr:row>15</xdr:row>
      <xdr:rowOff>13578</xdr:rowOff>
    </xdr:from>
    <xdr:ext cx="268744" cy="271632"/>
    <xdr:pic>
      <xdr:nvPicPr>
        <xdr:cNvPr id="160" name="Graphic 159" descr="Home with solid fill">
          <a:extLst>
            <a:ext uri="{FF2B5EF4-FFF2-40B4-BE49-F238E27FC236}">
              <a16:creationId xmlns:a16="http://schemas.microsoft.com/office/drawing/2014/main" id="{D28CF853-4711-48C4-ADFB-535804B06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44804" y="6462003"/>
          <a:ext cx="268744" cy="271632"/>
        </a:xfrm>
        <a:prstGeom prst="rect">
          <a:avLst/>
        </a:prstGeom>
      </xdr:spPr>
    </xdr:pic>
    <xdr:clientData/>
  </xdr:oneCellAnchor>
  <xdr:twoCellAnchor>
    <xdr:from>
      <xdr:col>4</xdr:col>
      <xdr:colOff>3122821</xdr:colOff>
      <xdr:row>31</xdr:row>
      <xdr:rowOff>50346</xdr:rowOff>
    </xdr:from>
    <xdr:to>
      <xdr:col>4</xdr:col>
      <xdr:colOff>3375557</xdr:colOff>
      <xdr:row>31</xdr:row>
      <xdr:rowOff>296912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C06C2B27-24C9-442D-94DB-4A9FB4EE2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8785" y="11262632"/>
          <a:ext cx="252736" cy="246566"/>
        </a:xfrm>
        <a:prstGeom prst="rect">
          <a:avLst/>
        </a:prstGeom>
      </xdr:spPr>
    </xdr:pic>
    <xdr:clientData/>
  </xdr:twoCellAnchor>
  <xdr:twoCellAnchor>
    <xdr:from>
      <xdr:col>4</xdr:col>
      <xdr:colOff>3120104</xdr:colOff>
      <xdr:row>41</xdr:row>
      <xdr:rowOff>40821</xdr:rowOff>
    </xdr:from>
    <xdr:to>
      <xdr:col>4</xdr:col>
      <xdr:colOff>3372840</xdr:colOff>
      <xdr:row>41</xdr:row>
      <xdr:rowOff>287387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95B01A76-835E-4C3E-A814-F898A7580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6068" y="14151428"/>
          <a:ext cx="252736" cy="246566"/>
        </a:xfrm>
        <a:prstGeom prst="rect">
          <a:avLst/>
        </a:prstGeom>
      </xdr:spPr>
    </xdr:pic>
    <xdr:clientData/>
  </xdr:twoCellAnchor>
  <xdr:twoCellAnchor>
    <xdr:from>
      <xdr:col>4</xdr:col>
      <xdr:colOff>3106492</xdr:colOff>
      <xdr:row>38</xdr:row>
      <xdr:rowOff>50346</xdr:rowOff>
    </xdr:from>
    <xdr:to>
      <xdr:col>4</xdr:col>
      <xdr:colOff>3359228</xdr:colOff>
      <xdr:row>38</xdr:row>
      <xdr:rowOff>296912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95B2B7F-F22F-4050-B4D8-73ED5108D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2456" y="13262882"/>
          <a:ext cx="252736" cy="246566"/>
        </a:xfrm>
        <a:prstGeom prst="rect">
          <a:avLst/>
        </a:prstGeom>
      </xdr:spPr>
    </xdr:pic>
    <xdr:clientData/>
  </xdr:twoCellAnchor>
  <xdr:twoCellAnchor>
    <xdr:from>
      <xdr:col>4</xdr:col>
      <xdr:colOff>3112980</xdr:colOff>
      <xdr:row>63</xdr:row>
      <xdr:rowOff>54428</xdr:rowOff>
    </xdr:from>
    <xdr:to>
      <xdr:col>4</xdr:col>
      <xdr:colOff>3365716</xdr:colOff>
      <xdr:row>64</xdr:row>
      <xdr:rowOff>1637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74CA77A7-6502-4C3E-8A7B-F1BE3B89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8944" y="20696464"/>
          <a:ext cx="252736" cy="246566"/>
        </a:xfrm>
        <a:prstGeom prst="rect">
          <a:avLst/>
        </a:prstGeom>
      </xdr:spPr>
    </xdr:pic>
    <xdr:clientData/>
  </xdr:twoCellAnchor>
  <xdr:twoCellAnchor>
    <xdr:from>
      <xdr:col>4</xdr:col>
      <xdr:colOff>3110257</xdr:colOff>
      <xdr:row>68</xdr:row>
      <xdr:rowOff>108856</xdr:rowOff>
    </xdr:from>
    <xdr:to>
      <xdr:col>4</xdr:col>
      <xdr:colOff>3362993</xdr:colOff>
      <xdr:row>68</xdr:row>
      <xdr:rowOff>355422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5FE1513-03F8-4014-86BE-19E5F4D49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7582" y="22683106"/>
          <a:ext cx="252736" cy="246566"/>
        </a:xfrm>
        <a:prstGeom prst="rect">
          <a:avLst/>
        </a:prstGeom>
      </xdr:spPr>
    </xdr:pic>
    <xdr:clientData/>
  </xdr:twoCellAnchor>
  <xdr:twoCellAnchor>
    <xdr:from>
      <xdr:col>4</xdr:col>
      <xdr:colOff>3090166</xdr:colOff>
      <xdr:row>75</xdr:row>
      <xdr:rowOff>40821</xdr:rowOff>
    </xdr:from>
    <xdr:to>
      <xdr:col>4</xdr:col>
      <xdr:colOff>3342902</xdr:colOff>
      <xdr:row>75</xdr:row>
      <xdr:rowOff>287387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63D78068-DD02-4D82-8D28-B09EF8551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6130" y="24234321"/>
          <a:ext cx="252736" cy="246566"/>
        </a:xfrm>
        <a:prstGeom prst="rect">
          <a:avLst/>
        </a:prstGeom>
      </xdr:spPr>
    </xdr:pic>
    <xdr:clientData/>
  </xdr:twoCellAnchor>
  <xdr:twoCellAnchor>
    <xdr:from>
      <xdr:col>4</xdr:col>
      <xdr:colOff>3083363</xdr:colOff>
      <xdr:row>78</xdr:row>
      <xdr:rowOff>40821</xdr:rowOff>
    </xdr:from>
    <xdr:to>
      <xdr:col>4</xdr:col>
      <xdr:colOff>3336099</xdr:colOff>
      <xdr:row>78</xdr:row>
      <xdr:rowOff>287387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BC5C1BF7-4BE2-4638-AE38-0CE01E58E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9327" y="25037142"/>
          <a:ext cx="252736" cy="246566"/>
        </a:xfrm>
        <a:prstGeom prst="rect">
          <a:avLst/>
        </a:prstGeom>
      </xdr:spPr>
    </xdr:pic>
    <xdr:clientData/>
  </xdr:twoCellAnchor>
  <xdr:twoCellAnchor>
    <xdr:from>
      <xdr:col>4</xdr:col>
      <xdr:colOff>3094665</xdr:colOff>
      <xdr:row>71</xdr:row>
      <xdr:rowOff>54429</xdr:rowOff>
    </xdr:from>
    <xdr:to>
      <xdr:col>4</xdr:col>
      <xdr:colOff>3347401</xdr:colOff>
      <xdr:row>72</xdr:row>
      <xdr:rowOff>1638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3AC46B56-0141-4B45-81D8-E969A1F57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1430" y="23261811"/>
          <a:ext cx="252736" cy="2497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ufarm.com/usturf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5AD96-4001-4F6C-A274-3F02F0128FDD}">
  <sheetPr codeName="Sheet1">
    <pageSetUpPr fitToPage="1"/>
  </sheetPr>
  <dimension ref="A1:T90"/>
  <sheetViews>
    <sheetView showGridLines="0" tabSelected="1" topLeftCell="C65" zoomScale="70" zoomScaleNormal="70" workbookViewId="0">
      <selection activeCell="H6" sqref="H6"/>
    </sheetView>
  </sheetViews>
  <sheetFormatPr defaultColWidth="9" defaultRowHeight="13.2" x14ac:dyDescent="0.25"/>
  <cols>
    <col min="1" max="1" width="20.36328125" style="45" hidden="1" customWidth="1"/>
    <col min="2" max="2" width="2.453125" style="45" hidden="1" customWidth="1"/>
    <col min="3" max="3" width="2.7265625" style="45" customWidth="1"/>
    <col min="4" max="4" width="16.36328125" style="45" customWidth="1"/>
    <col min="5" max="5" width="50.7265625" style="58" customWidth="1"/>
    <col min="6" max="6" width="27.26953125" style="58" customWidth="1"/>
    <col min="7" max="7" width="21" style="58" customWidth="1"/>
    <col min="8" max="8" width="26.7265625" style="51" customWidth="1"/>
    <col min="9" max="9" width="12.453125" style="52" customWidth="1"/>
    <col min="10" max="10" width="13.26953125" style="53" customWidth="1"/>
    <col min="11" max="11" width="13.36328125" style="53" customWidth="1"/>
    <col min="12" max="12" width="14.08984375" style="53" customWidth="1"/>
    <col min="13" max="13" width="16.08984375" style="45" customWidth="1"/>
    <col min="14" max="14" width="22.6328125" style="45" customWidth="1"/>
    <col min="15" max="15" width="20.36328125" style="45" bestFit="1" customWidth="1"/>
    <col min="16" max="16384" width="9" style="45"/>
  </cols>
  <sheetData>
    <row r="1" spans="1:20" ht="131.25" customHeight="1" thickBot="1" x14ac:dyDescent="0.3">
      <c r="D1" s="46"/>
      <c r="E1" s="47"/>
      <c r="F1" s="47"/>
      <c r="G1" s="47"/>
      <c r="H1" s="224" t="s">
        <v>196</v>
      </c>
      <c r="I1" s="224"/>
      <c r="J1" s="224"/>
      <c r="K1" s="224"/>
      <c r="L1" s="224"/>
      <c r="M1" s="224"/>
      <c r="N1" s="48"/>
      <c r="O1" s="48"/>
    </row>
    <row r="2" spans="1:20" ht="25.5" customHeight="1" x14ac:dyDescent="0.3">
      <c r="D2" s="49" t="s">
        <v>141</v>
      </c>
      <c r="E2" s="49"/>
      <c r="F2" s="49"/>
      <c r="G2" s="50"/>
      <c r="L2" s="54" t="s">
        <v>190</v>
      </c>
      <c r="M2" s="201"/>
      <c r="N2" s="201"/>
      <c r="O2" s="201"/>
      <c r="P2" s="53"/>
    </row>
    <row r="3" spans="1:20" ht="25.5" customHeight="1" x14ac:dyDescent="0.3">
      <c r="D3" s="236" t="s">
        <v>193</v>
      </c>
      <c r="E3" s="236"/>
      <c r="F3" s="55" t="s">
        <v>192</v>
      </c>
      <c r="G3" s="56"/>
      <c r="L3" s="54" t="s">
        <v>191</v>
      </c>
      <c r="M3" s="202"/>
      <c r="N3" s="202"/>
      <c r="O3" s="202"/>
      <c r="P3" s="53"/>
    </row>
    <row r="4" spans="1:20" ht="19.5" customHeight="1" x14ac:dyDescent="0.3">
      <c r="D4" s="57" t="s">
        <v>176</v>
      </c>
      <c r="T4" s="53"/>
    </row>
    <row r="5" spans="1:20" ht="27" customHeight="1" x14ac:dyDescent="0.3">
      <c r="A5" s="59" t="s">
        <v>137</v>
      </c>
      <c r="D5" s="58"/>
      <c r="E5" s="60" t="s">
        <v>184</v>
      </c>
      <c r="F5" s="61" t="s">
        <v>140</v>
      </c>
      <c r="H5" s="62" t="s">
        <v>205</v>
      </c>
      <c r="I5" s="63"/>
      <c r="J5" s="64"/>
      <c r="K5" s="64"/>
      <c r="L5" s="65"/>
      <c r="M5" s="64"/>
      <c r="N5" s="66"/>
      <c r="P5" s="67"/>
      <c r="S5" s="68"/>
    </row>
    <row r="6" spans="1:20" ht="23.25" customHeight="1" x14ac:dyDescent="0.3">
      <c r="A6" s="69" t="s">
        <v>138</v>
      </c>
      <c r="D6" s="58"/>
      <c r="E6" s="60" t="s">
        <v>189</v>
      </c>
      <c r="F6" s="70" t="s">
        <v>186</v>
      </c>
      <c r="H6" s="71" t="s">
        <v>137</v>
      </c>
      <c r="N6" s="72" t="s">
        <v>2</v>
      </c>
      <c r="O6" s="73">
        <f>SUM($O$11:$O$82)</f>
        <v>0</v>
      </c>
      <c r="P6" s="74"/>
      <c r="S6" s="52"/>
    </row>
    <row r="7" spans="1:20" ht="27" customHeight="1" x14ac:dyDescent="0.25">
      <c r="D7" s="58"/>
      <c r="E7" s="60" t="s">
        <v>174</v>
      </c>
      <c r="F7" s="70" t="s">
        <v>187</v>
      </c>
      <c r="J7" s="70"/>
      <c r="K7" s="58"/>
      <c r="N7" s="75"/>
      <c r="O7" s="76"/>
      <c r="S7" s="52"/>
    </row>
    <row r="8" spans="1:20" ht="27.75" customHeight="1" x14ac:dyDescent="0.4">
      <c r="D8" s="77"/>
      <c r="E8" s="60" t="s">
        <v>208</v>
      </c>
      <c r="F8" s="78" t="s">
        <v>188</v>
      </c>
      <c r="M8" s="79"/>
      <c r="N8" s="75"/>
    </row>
    <row r="9" spans="1:20" s="89" customFormat="1" ht="64.5" customHeight="1" x14ac:dyDescent="0.25">
      <c r="A9" s="80" t="s">
        <v>59</v>
      </c>
      <c r="B9" s="81" t="s">
        <v>1</v>
      </c>
      <c r="C9" s="82"/>
      <c r="D9" s="83" t="s">
        <v>175</v>
      </c>
      <c r="E9" s="84" t="s">
        <v>99</v>
      </c>
      <c r="F9" s="85" t="s">
        <v>177</v>
      </c>
      <c r="G9" s="85" t="s">
        <v>61</v>
      </c>
      <c r="H9" s="86" t="s">
        <v>197</v>
      </c>
      <c r="I9" s="87" t="s">
        <v>139</v>
      </c>
      <c r="J9" s="88" t="s">
        <v>170</v>
      </c>
      <c r="K9" s="88" t="s">
        <v>171</v>
      </c>
      <c r="L9" s="88" t="s">
        <v>172</v>
      </c>
      <c r="M9" s="86" t="s">
        <v>198</v>
      </c>
      <c r="N9" s="87" t="s">
        <v>220</v>
      </c>
      <c r="O9" s="87" t="s">
        <v>219</v>
      </c>
    </row>
    <row r="10" spans="1:20" s="89" customFormat="1" ht="16.2" thickBot="1" x14ac:dyDescent="0.35">
      <c r="A10" s="90"/>
      <c r="B10" s="91" t="s">
        <v>0</v>
      </c>
      <c r="C10" s="92"/>
      <c r="D10" s="93"/>
      <c r="E10" s="94" t="s">
        <v>0</v>
      </c>
      <c r="F10" s="95"/>
      <c r="G10" s="96"/>
      <c r="H10" s="97"/>
      <c r="I10" s="98"/>
      <c r="J10" s="99"/>
      <c r="K10" s="99"/>
      <c r="L10" s="99"/>
      <c r="M10" s="100"/>
      <c r="N10" s="100"/>
      <c r="O10" s="101"/>
    </row>
    <row r="11" spans="1:20" ht="24" customHeight="1" x14ac:dyDescent="0.3">
      <c r="A11" s="102">
        <v>10010225</v>
      </c>
      <c r="B11" s="103" t="s">
        <v>3</v>
      </c>
      <c r="C11" s="104"/>
      <c r="D11" s="105"/>
      <c r="E11" s="106" t="s">
        <v>60</v>
      </c>
      <c r="F11" s="107"/>
      <c r="G11" s="105" t="s">
        <v>101</v>
      </c>
      <c r="H11" s="108"/>
      <c r="I11" s="109">
        <f>IF($H$6="Period 1", VLOOKUP(E11&amp;G11&amp;$H$6,'Rebate Reference Table'!$E$5:$M$78,3,FALSE), VLOOKUP(E11&amp;G11&amp;$H$6,'Rebate Reference Table'!$F$5:$K$78,6,FALSE))</f>
        <v>25</v>
      </c>
      <c r="J11" s="110">
        <v>1.1000000000000001</v>
      </c>
      <c r="K11" s="110">
        <v>1.5</v>
      </c>
      <c r="L11" s="110" t="s">
        <v>221</v>
      </c>
      <c r="M11" s="111"/>
      <c r="N11" s="112" t="str">
        <f>IFERROR((H11*320)/(M11*43.56),"")</f>
        <v/>
      </c>
      <c r="O11" s="113">
        <f>H11*I11</f>
        <v>0</v>
      </c>
    </row>
    <row r="12" spans="1:20" ht="24" customHeight="1" x14ac:dyDescent="0.3">
      <c r="A12" s="102">
        <v>10583050</v>
      </c>
      <c r="B12" s="103" t="s">
        <v>4</v>
      </c>
      <c r="C12" s="104"/>
      <c r="D12" s="114"/>
      <c r="E12" s="115" t="s">
        <v>81</v>
      </c>
      <c r="F12" s="114"/>
      <c r="G12" s="114" t="s">
        <v>102</v>
      </c>
      <c r="H12" s="108"/>
      <c r="I12" s="116">
        <f>IF($H$6="Period 1", VLOOKUP(E12&amp;G12&amp;$H$6,'Rebate Reference Table'!$E$5:$M$78,3,FALSE), VLOOKUP(E12&amp;G12&amp;$H$6,'Rebate Reference Table'!$F$5:$K$78,6,FALSE))</f>
        <v>5</v>
      </c>
      <c r="J12" s="117">
        <v>3.5</v>
      </c>
      <c r="K12" s="117">
        <v>3.5</v>
      </c>
      <c r="L12" s="118" t="s">
        <v>222</v>
      </c>
      <c r="M12" s="111"/>
      <c r="N12" s="119" t="str">
        <f>IFERROR((H12*50)/(M12*43.56),"")</f>
        <v/>
      </c>
      <c r="O12" s="120">
        <f>H12*I12</f>
        <v>0</v>
      </c>
    </row>
    <row r="13" spans="1:20" ht="24" customHeight="1" x14ac:dyDescent="0.3">
      <c r="A13" s="102">
        <v>10701401</v>
      </c>
      <c r="B13" s="103" t="s">
        <v>5</v>
      </c>
      <c r="C13" s="104"/>
      <c r="D13" s="105"/>
      <c r="E13" s="121" t="s">
        <v>96</v>
      </c>
      <c r="F13" s="107" t="s">
        <v>124</v>
      </c>
      <c r="G13" s="107" t="s">
        <v>131</v>
      </c>
      <c r="H13" s="108"/>
      <c r="I13" s="122">
        <f>IF($H$6="Period 1", VLOOKUP(E13&amp;G13&amp;$H$6,'Rebate Reference Table'!$E$5:$M$78,3,FALSE), VLOOKUP(E13&amp;G13&amp;$H$6,'Rebate Reference Table'!$F$5:$K$78,6,FALSE))</f>
        <v>8</v>
      </c>
      <c r="J13" s="123">
        <v>8</v>
      </c>
      <c r="K13" s="123">
        <v>14</v>
      </c>
      <c r="L13" s="110" t="s">
        <v>178</v>
      </c>
      <c r="M13" s="111"/>
      <c r="N13" s="124" t="str">
        <f>IFERROR(H13*16/M13,"")</f>
        <v/>
      </c>
      <c r="O13" s="113">
        <f>H13*I13</f>
        <v>0</v>
      </c>
    </row>
    <row r="14" spans="1:20" ht="24" customHeight="1" x14ac:dyDescent="0.3">
      <c r="A14" s="102">
        <v>10699170</v>
      </c>
      <c r="B14" s="103" t="s">
        <v>6</v>
      </c>
      <c r="C14" s="104"/>
      <c r="D14" s="125"/>
      <c r="E14" s="115" t="s">
        <v>95</v>
      </c>
      <c r="F14" s="114"/>
      <c r="G14" s="114" t="s">
        <v>132</v>
      </c>
      <c r="H14" s="108"/>
      <c r="I14" s="116">
        <f>IF($H$6="Period 1", VLOOKUP(E14&amp;G14&amp;$H$6,'Rebate Reference Table'!$E$5:$M$78,3,FALSE), VLOOKUP(E14&amp;G14&amp;$H$6,'Rebate Reference Table'!$F$5:$K$78,6,FALSE))</f>
        <v>3</v>
      </c>
      <c r="J14" s="126">
        <v>0.75</v>
      </c>
      <c r="K14" s="126">
        <v>2</v>
      </c>
      <c r="L14" s="118" t="s">
        <v>178</v>
      </c>
      <c r="M14" s="111"/>
      <c r="N14" s="119" t="str">
        <f>IFERROR(H14*1.25/M14,"")</f>
        <v/>
      </c>
      <c r="O14" s="120">
        <f>H14*I14</f>
        <v>0</v>
      </c>
    </row>
    <row r="15" spans="1:20" ht="24" customHeight="1" x14ac:dyDescent="0.25">
      <c r="A15" s="102">
        <v>10555225</v>
      </c>
      <c r="B15" s="103" t="s">
        <v>7</v>
      </c>
      <c r="C15" s="104"/>
      <c r="D15" s="233"/>
      <c r="E15" s="198" t="s">
        <v>76</v>
      </c>
      <c r="F15" s="231" t="s">
        <v>210</v>
      </c>
      <c r="G15" s="107" t="s">
        <v>101</v>
      </c>
      <c r="H15" s="108"/>
      <c r="I15" s="122">
        <f>IF($H$6="Period 1", VLOOKUP(E15&amp;G15&amp;$H$6,'Rebate Reference Table'!$E$5:$M$78,3,FALSE), VLOOKUP(E15&amp;G15&amp;$H$6,'Rebate Reference Table'!$F$5:$K$78,6,FALSE))</f>
        <v>10</v>
      </c>
      <c r="J15" s="123">
        <v>0.45910000000000001</v>
      </c>
      <c r="K15" s="123">
        <v>1.1020000000000001</v>
      </c>
      <c r="L15" s="110" t="s">
        <v>221</v>
      </c>
      <c r="M15" s="111"/>
      <c r="N15" s="127" t="str">
        <f>IFERROR((H15*320)/(M15*43.56),"")</f>
        <v/>
      </c>
      <c r="O15" s="113">
        <f t="shared" ref="O15:O19" si="0">H15*I15</f>
        <v>0</v>
      </c>
    </row>
    <row r="16" spans="1:20" ht="24" customHeight="1" x14ac:dyDescent="0.25">
      <c r="A16" s="102">
        <v>10555030</v>
      </c>
      <c r="B16" s="103" t="s">
        <v>8</v>
      </c>
      <c r="C16" s="104"/>
      <c r="D16" s="234"/>
      <c r="E16" s="199"/>
      <c r="F16" s="232"/>
      <c r="G16" s="107" t="s">
        <v>107</v>
      </c>
      <c r="H16" s="108"/>
      <c r="I16" s="122">
        <f>IF($H$6="Period 1", VLOOKUP(E15&amp;G16&amp;$H$6,'Rebate Reference Table'!$E$5:$M$78,3,FALSE), VLOOKUP(E15&amp;G16&amp;$H$6,'Rebate Reference Table'!$F$5:$K$78,6,FALSE))</f>
        <v>120</v>
      </c>
      <c r="J16" s="123">
        <v>0.45910000000000001</v>
      </c>
      <c r="K16" s="123">
        <v>1.1020000000000001</v>
      </c>
      <c r="L16" s="110" t="s">
        <v>221</v>
      </c>
      <c r="M16" s="111"/>
      <c r="N16" s="124" t="str">
        <f>IFERROR((H16*3840)/(M16*43.56),"")</f>
        <v/>
      </c>
      <c r="O16" s="113">
        <f t="shared" si="0"/>
        <v>0</v>
      </c>
    </row>
    <row r="17" spans="1:15" ht="24" customHeight="1" x14ac:dyDescent="0.25">
      <c r="A17" s="102">
        <v>10555250</v>
      </c>
      <c r="B17" s="128" t="s">
        <v>130</v>
      </c>
      <c r="C17" s="129"/>
      <c r="D17" s="235"/>
      <c r="E17" s="200"/>
      <c r="F17" s="230"/>
      <c r="G17" s="107" t="s">
        <v>108</v>
      </c>
      <c r="H17" s="108"/>
      <c r="I17" s="122">
        <f>IF($H$6="Period 1", VLOOKUP(E15&amp;G17&amp;$H$6,'Rebate Reference Table'!$E$5:$M$78,3,FALSE), VLOOKUP(E15&amp;G17&amp;$H$6,'Rebate Reference Table'!$F$5:$K$78,6,FALSE))</f>
        <v>1000</v>
      </c>
      <c r="J17" s="123">
        <v>0.45910000000000001</v>
      </c>
      <c r="K17" s="123">
        <v>1.1020000000000001</v>
      </c>
      <c r="L17" s="110" t="s">
        <v>221</v>
      </c>
      <c r="M17" s="111"/>
      <c r="N17" s="124" t="str">
        <f>IFERROR((H17*32000)/(M17*43.56),"")</f>
        <v/>
      </c>
      <c r="O17" s="113">
        <f t="shared" si="0"/>
        <v>0</v>
      </c>
    </row>
    <row r="18" spans="1:15" ht="24" customHeight="1" x14ac:dyDescent="0.25">
      <c r="A18" s="102">
        <v>10070225</v>
      </c>
      <c r="B18" s="103" t="s">
        <v>9</v>
      </c>
      <c r="C18" s="104"/>
      <c r="D18" s="212"/>
      <c r="E18" s="225" t="s">
        <v>62</v>
      </c>
      <c r="F18" s="196"/>
      <c r="G18" s="114" t="s">
        <v>101</v>
      </c>
      <c r="H18" s="108"/>
      <c r="I18" s="116">
        <f>IF($H$6="Period 1", VLOOKUP(E18&amp;G18&amp;$H$6,'Rebate Reference Table'!$E$5:$M$78,3,FALSE), VLOOKUP(E18&amp;G18&amp;$H$6,'Rebate Reference Table'!$F$5:$K$78,6,FALSE))</f>
        <v>15</v>
      </c>
      <c r="J18" s="126">
        <v>0.91</v>
      </c>
      <c r="K18" s="126">
        <v>1.29</v>
      </c>
      <c r="L18" s="118" t="s">
        <v>221</v>
      </c>
      <c r="M18" s="111"/>
      <c r="N18" s="130" t="str">
        <f>IFERROR((H18*320)/(M18*43.56),"")</f>
        <v/>
      </c>
      <c r="O18" s="120">
        <f t="shared" si="0"/>
        <v>0</v>
      </c>
    </row>
    <row r="19" spans="1:15" ht="24" customHeight="1" x14ac:dyDescent="0.25">
      <c r="A19" s="102">
        <v>10070030</v>
      </c>
      <c r="B19" s="103" t="s">
        <v>10</v>
      </c>
      <c r="C19" s="104"/>
      <c r="D19" s="214"/>
      <c r="E19" s="226"/>
      <c r="F19" s="197"/>
      <c r="G19" s="114" t="s">
        <v>107</v>
      </c>
      <c r="H19" s="108"/>
      <c r="I19" s="116">
        <f>IF($H$6="Period 1", VLOOKUP(E18&amp;G19&amp;$H$6,'Rebate Reference Table'!$E$5:$M$78,3,FALSE), VLOOKUP(E18&amp;G19&amp;$H$6,'Rebate Reference Table'!$F$5:$K$78,6,FALSE))</f>
        <v>180</v>
      </c>
      <c r="J19" s="126">
        <v>0.91</v>
      </c>
      <c r="K19" s="126">
        <v>1.29</v>
      </c>
      <c r="L19" s="118" t="s">
        <v>221</v>
      </c>
      <c r="M19" s="111"/>
      <c r="N19" s="119" t="str">
        <f>IFERROR((H19*3840)/(M19*43.56),"")</f>
        <v/>
      </c>
      <c r="O19" s="120">
        <f t="shared" si="0"/>
        <v>0</v>
      </c>
    </row>
    <row r="20" spans="1:15" ht="24" customHeight="1" x14ac:dyDescent="0.25">
      <c r="A20" s="102">
        <v>10111225</v>
      </c>
      <c r="B20" s="103" t="s">
        <v>11</v>
      </c>
      <c r="C20" s="104"/>
      <c r="D20" s="194"/>
      <c r="E20" s="198" t="s">
        <v>63</v>
      </c>
      <c r="F20" s="231" t="s">
        <v>211</v>
      </c>
      <c r="G20" s="107" t="s">
        <v>101</v>
      </c>
      <c r="H20" s="108"/>
      <c r="I20" s="122">
        <f>IF($H$6="Period 1", VLOOKUP(E20&amp;G20&amp;$H$6,'Rebate Reference Table'!$E$5:$M$78,3,FALSE), VLOOKUP(E20&amp;G20&amp;$H$6,'Rebate Reference Table'!$F$5:$K$78,6,FALSE))</f>
        <v>15</v>
      </c>
      <c r="J20" s="123">
        <v>0.75</v>
      </c>
      <c r="K20" s="123">
        <v>1.1000000000000001</v>
      </c>
      <c r="L20" s="110" t="s">
        <v>221</v>
      </c>
      <c r="M20" s="111"/>
      <c r="N20" s="112" t="str">
        <f>IFERROR((H20*320)/(M20*43.56),"")</f>
        <v/>
      </c>
      <c r="O20" s="113">
        <f t="shared" ref="O20:O24" si="1">H20*I20</f>
        <v>0</v>
      </c>
    </row>
    <row r="21" spans="1:15" ht="24" customHeight="1" x14ac:dyDescent="0.25">
      <c r="A21" s="102">
        <v>10111030</v>
      </c>
      <c r="B21" s="103" t="s">
        <v>12</v>
      </c>
      <c r="C21" s="104"/>
      <c r="D21" s="237"/>
      <c r="E21" s="199"/>
      <c r="F21" s="238"/>
      <c r="G21" s="107" t="s">
        <v>107</v>
      </c>
      <c r="H21" s="108"/>
      <c r="I21" s="122">
        <f>IF($H$6="Period 1", VLOOKUP(E20&amp;G21&amp;$H$6,'Rebate Reference Table'!$E$5:$M$78,3,FALSE), VLOOKUP(E20&amp;G21&amp;$H$6,'Rebate Reference Table'!$F$5:$K$78,6,FALSE))</f>
        <v>180</v>
      </c>
      <c r="J21" s="123">
        <v>0.75</v>
      </c>
      <c r="K21" s="123">
        <v>1.1000000000000001</v>
      </c>
      <c r="L21" s="110" t="s">
        <v>221</v>
      </c>
      <c r="M21" s="111"/>
      <c r="N21" s="124" t="str">
        <f>IFERROR((H21*3840)/(M21*43.56),"")</f>
        <v/>
      </c>
      <c r="O21" s="113">
        <f t="shared" si="1"/>
        <v>0</v>
      </c>
    </row>
    <row r="22" spans="1:15" ht="24" customHeight="1" x14ac:dyDescent="0.25">
      <c r="A22" s="102">
        <v>10111250</v>
      </c>
      <c r="B22" s="103" t="s">
        <v>13</v>
      </c>
      <c r="C22" s="104"/>
      <c r="D22" s="195"/>
      <c r="E22" s="200"/>
      <c r="F22" s="239"/>
      <c r="G22" s="107" t="s">
        <v>108</v>
      </c>
      <c r="H22" s="108"/>
      <c r="I22" s="122">
        <f>IF($H$6="Period 1", VLOOKUP(E20&amp;G22&amp;$H$6,'Rebate Reference Table'!$E$5:$M$78,3,FALSE), VLOOKUP(E20&amp;G22&amp;$H$6,'Rebate Reference Table'!$F$5:$K$78,6,FALSE))</f>
        <v>1500</v>
      </c>
      <c r="J22" s="123">
        <v>0.75</v>
      </c>
      <c r="K22" s="123">
        <v>1.1000000000000001</v>
      </c>
      <c r="L22" s="110" t="s">
        <v>221</v>
      </c>
      <c r="M22" s="111"/>
      <c r="N22" s="124" t="str">
        <f>IFERROR((H22*32000)/(M22*43.56),"")</f>
        <v/>
      </c>
      <c r="O22" s="113">
        <f t="shared" si="1"/>
        <v>0</v>
      </c>
    </row>
    <row r="23" spans="1:15" ht="24" customHeight="1" x14ac:dyDescent="0.25">
      <c r="A23" s="102">
        <v>10139225</v>
      </c>
      <c r="B23" s="103" t="s">
        <v>14</v>
      </c>
      <c r="C23" s="104"/>
      <c r="D23" s="212"/>
      <c r="E23" s="225" t="s">
        <v>64</v>
      </c>
      <c r="F23" s="227" t="s">
        <v>125</v>
      </c>
      <c r="G23" s="114" t="s">
        <v>101</v>
      </c>
      <c r="H23" s="108"/>
      <c r="I23" s="116">
        <f>IF($H$6="Period 1", VLOOKUP(E23&amp;G23&amp;$H$6,'Rebate Reference Table'!$E$5:$M$78,3,FALSE), VLOOKUP(E23&amp;G23&amp;$H$6,'Rebate Reference Table'!$F$5:$K$78,6,FALSE))</f>
        <v>15</v>
      </c>
      <c r="J23" s="126">
        <v>0.73</v>
      </c>
      <c r="K23" s="126">
        <v>1.1000000000000001</v>
      </c>
      <c r="L23" s="118" t="s">
        <v>221</v>
      </c>
      <c r="M23" s="111"/>
      <c r="N23" s="130" t="str">
        <f>IFERROR((H23*320)/(M23*43.56),"")</f>
        <v/>
      </c>
      <c r="O23" s="120">
        <f t="shared" si="1"/>
        <v>0</v>
      </c>
    </row>
    <row r="24" spans="1:15" ht="24" customHeight="1" x14ac:dyDescent="0.25">
      <c r="A24" s="102">
        <v>10139030</v>
      </c>
      <c r="B24" s="103" t="s">
        <v>15</v>
      </c>
      <c r="C24" s="104"/>
      <c r="D24" s="214"/>
      <c r="E24" s="226"/>
      <c r="F24" s="228"/>
      <c r="G24" s="114" t="s">
        <v>107</v>
      </c>
      <c r="H24" s="108"/>
      <c r="I24" s="116">
        <f>IF($H$6="Period 1", VLOOKUP(E23&amp;G24&amp;$H$6,'Rebate Reference Table'!$E$5:$M$78,3,FALSE), VLOOKUP(E23&amp;G24&amp;$H$6,'Rebate Reference Table'!$F$5:$K$78,6,FALSE))</f>
        <v>80</v>
      </c>
      <c r="J24" s="126">
        <v>0.73</v>
      </c>
      <c r="K24" s="126">
        <v>1.1000000000000001</v>
      </c>
      <c r="L24" s="118" t="s">
        <v>221</v>
      </c>
      <c r="M24" s="111"/>
      <c r="N24" s="119" t="str">
        <f>IFERROR((H24*3840)/(M24*43.56),"")</f>
        <v/>
      </c>
      <c r="O24" s="120">
        <f t="shared" si="1"/>
        <v>0</v>
      </c>
    </row>
    <row r="25" spans="1:15" ht="24" customHeight="1" x14ac:dyDescent="0.25">
      <c r="A25" s="102">
        <v>10181174</v>
      </c>
      <c r="B25" s="103" t="s">
        <v>16</v>
      </c>
      <c r="C25" s="104"/>
      <c r="D25" s="194"/>
      <c r="E25" s="198" t="s">
        <v>65</v>
      </c>
      <c r="F25" s="229" t="s">
        <v>126</v>
      </c>
      <c r="G25" s="107" t="s">
        <v>133</v>
      </c>
      <c r="H25" s="108"/>
      <c r="I25" s="122">
        <f>IF($H$6="Period 1", VLOOKUP(E25&amp;G25&amp;$H$6,'Rebate Reference Table'!$E$5:$M$78,3,FALSE), VLOOKUP(E25&amp;G25&amp;$H$6,'Rebate Reference Table'!$F$5:$K$78,6,FALSE))</f>
        <v>4</v>
      </c>
      <c r="J25" s="123">
        <v>0.25</v>
      </c>
      <c r="K25" s="123">
        <v>1</v>
      </c>
      <c r="L25" s="110" t="s">
        <v>178</v>
      </c>
      <c r="M25" s="111"/>
      <c r="N25" s="124" t="str">
        <f>IFERROR(H25*2/M25,"")</f>
        <v/>
      </c>
      <c r="O25" s="113">
        <f t="shared" ref="O25:O32" si="2">H25*I25</f>
        <v>0</v>
      </c>
    </row>
    <row r="26" spans="1:15" ht="24" customHeight="1" x14ac:dyDescent="0.25">
      <c r="A26" s="102">
        <v>10181880</v>
      </c>
      <c r="B26" s="103" t="s">
        <v>17</v>
      </c>
      <c r="C26" s="104"/>
      <c r="D26" s="195"/>
      <c r="E26" s="200"/>
      <c r="F26" s="230"/>
      <c r="G26" s="107" t="s">
        <v>109</v>
      </c>
      <c r="H26" s="108"/>
      <c r="I26" s="122">
        <f>IF($H$6="Period 1", VLOOKUP(E25&amp;G26&amp;$H$6,'Rebate Reference Table'!$E$5:$M$78,3,FALSE), VLOOKUP(E25&amp;G26&amp;$H$6,'Rebate Reference Table'!$F$5:$K$78,6,FALSE))</f>
        <v>16</v>
      </c>
      <c r="J26" s="123">
        <v>0.25</v>
      </c>
      <c r="K26" s="123">
        <v>1</v>
      </c>
      <c r="L26" s="110" t="s">
        <v>178</v>
      </c>
      <c r="M26" s="111"/>
      <c r="N26" s="124" t="str">
        <f>IFERROR(H26*8/M26,"")</f>
        <v/>
      </c>
      <c r="O26" s="113">
        <f t="shared" si="2"/>
        <v>0</v>
      </c>
    </row>
    <row r="27" spans="1:15" ht="24" customHeight="1" x14ac:dyDescent="0.3">
      <c r="A27" s="102">
        <v>10195225</v>
      </c>
      <c r="B27" s="103" t="s">
        <v>18</v>
      </c>
      <c r="C27" s="104"/>
      <c r="D27" s="212"/>
      <c r="E27" s="115" t="s">
        <v>182</v>
      </c>
      <c r="F27" s="203" t="s">
        <v>212</v>
      </c>
      <c r="G27" s="114" t="s">
        <v>101</v>
      </c>
      <c r="H27" s="108"/>
      <c r="I27" s="116">
        <f>IF($H$6="Period 1", VLOOKUP(E27&amp;G27&amp;$H$6,'Rebate Reference Table'!$E$5:$M$78,3,FALSE), VLOOKUP(E27&amp;G27&amp;$H$6,'Rebate Reference Table'!$F$5:$K$78,6,FALSE))</f>
        <v>10</v>
      </c>
      <c r="J27" s="126">
        <v>0.73</v>
      </c>
      <c r="K27" s="126">
        <v>1.1000000000000001</v>
      </c>
      <c r="L27" s="118" t="s">
        <v>221</v>
      </c>
      <c r="M27" s="111"/>
      <c r="N27" s="130" t="str">
        <f>IFERROR((H27*320)/(M27*43.56),"")</f>
        <v/>
      </c>
      <c r="O27" s="120">
        <f t="shared" si="2"/>
        <v>0</v>
      </c>
    </row>
    <row r="28" spans="1:15" ht="24" customHeight="1" x14ac:dyDescent="0.3">
      <c r="A28" s="102"/>
      <c r="B28" s="103"/>
      <c r="C28" s="104"/>
      <c r="D28" s="213"/>
      <c r="E28" s="115" t="s">
        <v>183</v>
      </c>
      <c r="F28" s="204"/>
      <c r="G28" s="114" t="s">
        <v>101</v>
      </c>
      <c r="H28" s="108"/>
      <c r="I28" s="116">
        <f>IF($H$6="Period 1", VLOOKUP(E28&amp;G28&amp;$H$6,'Rebate Reference Table'!$E$5:$M$78,3,FALSE), VLOOKUP(E28&amp;G28&amp;$H$6,'Rebate Reference Table'!$F$5:$K$78,6,FALSE))</f>
        <v>50</v>
      </c>
      <c r="J28" s="126">
        <v>0.73</v>
      </c>
      <c r="K28" s="126">
        <v>1.1000000000000001</v>
      </c>
      <c r="L28" s="118" t="s">
        <v>221</v>
      </c>
      <c r="M28" s="111"/>
      <c r="N28" s="130" t="str">
        <f>IFERROR((H28*320)/(M28*43.56),"")</f>
        <v/>
      </c>
      <c r="O28" s="120">
        <f t="shared" si="2"/>
        <v>0</v>
      </c>
    </row>
    <row r="29" spans="1:15" ht="24" customHeight="1" x14ac:dyDescent="0.3">
      <c r="A29" s="102">
        <v>10195030</v>
      </c>
      <c r="B29" s="103" t="s">
        <v>19</v>
      </c>
      <c r="C29" s="104"/>
      <c r="D29" s="214"/>
      <c r="E29" s="115" t="s">
        <v>66</v>
      </c>
      <c r="F29" s="205"/>
      <c r="G29" s="114" t="s">
        <v>107</v>
      </c>
      <c r="H29" s="108"/>
      <c r="I29" s="116">
        <f>IF($H$6="Period 1", VLOOKUP(E29&amp;G29&amp;$H$6,'Rebate Reference Table'!$E$5:$M$78,3,FALSE), VLOOKUP(E29&amp;G29&amp;$H$6,'Rebate Reference Table'!$F$5:$K$78,6,FALSE))</f>
        <v>120</v>
      </c>
      <c r="J29" s="126">
        <v>0.73</v>
      </c>
      <c r="K29" s="126">
        <v>1.1000000000000001</v>
      </c>
      <c r="L29" s="118" t="s">
        <v>221</v>
      </c>
      <c r="M29" s="111"/>
      <c r="N29" s="119" t="str">
        <f>IFERROR((H29*3840)/(M29*43.56),"")</f>
        <v/>
      </c>
      <c r="O29" s="120">
        <f t="shared" si="2"/>
        <v>0</v>
      </c>
    </row>
    <row r="30" spans="1:15" ht="24" customHeight="1" x14ac:dyDescent="0.3">
      <c r="A30" s="102">
        <v>10698861</v>
      </c>
      <c r="B30" s="103" t="s">
        <v>22</v>
      </c>
      <c r="C30" s="104"/>
      <c r="D30" s="215"/>
      <c r="E30" s="169" t="s">
        <v>94</v>
      </c>
      <c r="F30" s="170"/>
      <c r="G30" s="171" t="s">
        <v>110</v>
      </c>
      <c r="H30" s="108"/>
      <c r="I30" s="172">
        <f>IF($H$6="Period 1", VLOOKUP(E30&amp;G30&amp;$H$6,'Rebate Reference Table'!$E$5:$M$78,3,FALSE), VLOOKUP(E30&amp;G30&amp;$H$6,'Rebate Reference Table'!$F$5:$K$78,6,FALSE))</f>
        <v>12.5</v>
      </c>
      <c r="J30" s="173">
        <v>8</v>
      </c>
      <c r="K30" s="173">
        <v>12</v>
      </c>
      <c r="L30" s="174" t="s">
        <v>178</v>
      </c>
      <c r="M30" s="111"/>
      <c r="N30" s="175" t="str">
        <f>IFERROR(H30*16/M30,"")</f>
        <v/>
      </c>
      <c r="O30" s="176">
        <f t="shared" si="2"/>
        <v>0</v>
      </c>
    </row>
    <row r="31" spans="1:15" ht="24" customHeight="1" x14ac:dyDescent="0.3">
      <c r="A31" s="102">
        <v>10698464</v>
      </c>
      <c r="B31" s="103" t="s">
        <v>142</v>
      </c>
      <c r="C31" s="104"/>
      <c r="D31" s="216"/>
      <c r="E31" s="169" t="s">
        <v>156</v>
      </c>
      <c r="F31" s="170"/>
      <c r="G31" s="171" t="s">
        <v>111</v>
      </c>
      <c r="H31" s="108"/>
      <c r="I31" s="172">
        <f>IF($H$6="Period 1", VLOOKUP(E31&amp;G31&amp;$H$6,'Rebate Reference Table'!$E$5:$M$78,3,FALSE), VLOOKUP(E31&amp;G31&amp;$H$6,'Rebate Reference Table'!$F$5:$K$78,6,FALSE))</f>
        <v>50</v>
      </c>
      <c r="J31" s="173">
        <v>8</v>
      </c>
      <c r="K31" s="173">
        <v>12</v>
      </c>
      <c r="L31" s="174" t="s">
        <v>178</v>
      </c>
      <c r="M31" s="111"/>
      <c r="N31" s="175" t="str">
        <f>IFERROR(H31*64/M31,"")</f>
        <v/>
      </c>
      <c r="O31" s="176">
        <f t="shared" si="2"/>
        <v>0</v>
      </c>
    </row>
    <row r="32" spans="1:15" ht="24" customHeight="1" x14ac:dyDescent="0.3">
      <c r="A32" s="132">
        <v>10698464</v>
      </c>
      <c r="B32" s="133" t="s">
        <v>143</v>
      </c>
      <c r="C32" s="104"/>
      <c r="D32" s="217"/>
      <c r="E32" s="169" t="s">
        <v>157</v>
      </c>
      <c r="F32" s="170"/>
      <c r="G32" s="171" t="s">
        <v>111</v>
      </c>
      <c r="H32" s="108"/>
      <c r="I32" s="172">
        <f>IF($H$6="Period 1", VLOOKUP(E32&amp;G32&amp;$H$6,'Rebate Reference Table'!$E$5:$M$78,3,FALSE), VLOOKUP(E32&amp;G32&amp;$H$6,'Rebate Reference Table'!$F$5:$K$78,6,FALSE))</f>
        <v>60</v>
      </c>
      <c r="J32" s="173">
        <v>8</v>
      </c>
      <c r="K32" s="173">
        <v>12</v>
      </c>
      <c r="L32" s="174" t="s">
        <v>178</v>
      </c>
      <c r="M32" s="111"/>
      <c r="N32" s="175" t="str">
        <f>IFERROR(H32*64/M32,"")</f>
        <v/>
      </c>
      <c r="O32" s="176">
        <f t="shared" si="2"/>
        <v>0</v>
      </c>
    </row>
    <row r="33" spans="1:15" ht="24" customHeight="1" x14ac:dyDescent="0.25">
      <c r="A33" s="102">
        <v>10724225</v>
      </c>
      <c r="B33" s="103" t="s">
        <v>23</v>
      </c>
      <c r="C33" s="104"/>
      <c r="D33" s="210"/>
      <c r="E33" s="206" t="s">
        <v>97</v>
      </c>
      <c r="F33" s="208" t="s">
        <v>218</v>
      </c>
      <c r="G33" s="177" t="s">
        <v>101</v>
      </c>
      <c r="H33" s="108"/>
      <c r="I33" s="178">
        <f>IF($H$6="Period 1", VLOOKUP(E33&amp;G33&amp;$H$6,'Rebate Reference Table'!$E$5:$M$78,3,FALSE), VLOOKUP(E33&amp;G33&amp;$H$6,'Rebate Reference Table'!$F$5:$K$78,6,FALSE))</f>
        <v>10</v>
      </c>
      <c r="J33" s="179" t="s">
        <v>185</v>
      </c>
      <c r="K33" s="179" t="s">
        <v>185</v>
      </c>
      <c r="L33" s="180" t="s">
        <v>221</v>
      </c>
      <c r="M33" s="108"/>
      <c r="N33" s="181" t="str">
        <f>IFERROR((H33*320)/(M33*43.56),"")</f>
        <v/>
      </c>
      <c r="O33" s="182">
        <f t="shared" ref="O33:O36" si="3">H33*I33</f>
        <v>0</v>
      </c>
    </row>
    <row r="34" spans="1:15" ht="27" customHeight="1" x14ac:dyDescent="0.25">
      <c r="A34" s="102">
        <v>10724030</v>
      </c>
      <c r="B34" s="103" t="s">
        <v>24</v>
      </c>
      <c r="C34" s="104"/>
      <c r="D34" s="211"/>
      <c r="E34" s="207"/>
      <c r="F34" s="209"/>
      <c r="G34" s="177" t="s">
        <v>107</v>
      </c>
      <c r="H34" s="108"/>
      <c r="I34" s="178">
        <f>IF($H$6="Period 1", VLOOKUP(E33&amp;G34&amp;$H$6,'Rebate Reference Table'!$E$5:$M$78,3,FALSE), VLOOKUP(E33&amp;G34&amp;$H$6,'Rebate Reference Table'!$F$5:$K$78,6,FALSE))</f>
        <v>120</v>
      </c>
      <c r="J34" s="179" t="s">
        <v>185</v>
      </c>
      <c r="K34" s="179" t="s">
        <v>185</v>
      </c>
      <c r="L34" s="180" t="s">
        <v>221</v>
      </c>
      <c r="M34" s="108"/>
      <c r="N34" s="183" t="str">
        <f>IFERROR((H34*3840)/(M34*43.56),"")</f>
        <v/>
      </c>
      <c r="O34" s="182">
        <f t="shared" si="3"/>
        <v>0</v>
      </c>
    </row>
    <row r="35" spans="1:15" ht="24" customHeight="1" x14ac:dyDescent="0.25">
      <c r="A35" s="102">
        <v>10361225</v>
      </c>
      <c r="B35" s="103" t="s">
        <v>25</v>
      </c>
      <c r="C35" s="104"/>
      <c r="D35" s="215"/>
      <c r="E35" s="219" t="s">
        <v>68</v>
      </c>
      <c r="F35" s="221" t="s">
        <v>127</v>
      </c>
      <c r="G35" s="171" t="s">
        <v>101</v>
      </c>
      <c r="H35" s="108"/>
      <c r="I35" s="172">
        <f>IF($H$6="Period 1", VLOOKUP(E35&amp;G35&amp;$H$6,'Rebate Reference Table'!$E$5:$M$78,3,FALSE), VLOOKUP(E35&amp;G35&amp;$H$6,'Rebate Reference Table'!$F$5:$K$78,6,FALSE))</f>
        <v>10</v>
      </c>
      <c r="J35" s="173">
        <v>0.67</v>
      </c>
      <c r="K35" s="173">
        <v>1.5</v>
      </c>
      <c r="L35" s="174" t="s">
        <v>221</v>
      </c>
      <c r="M35" s="108"/>
      <c r="N35" s="185" t="str">
        <f>IFERROR((H35*320)/(M35*43.56),"")</f>
        <v/>
      </c>
      <c r="O35" s="176">
        <f t="shared" si="3"/>
        <v>0</v>
      </c>
    </row>
    <row r="36" spans="1:15" ht="24" customHeight="1" x14ac:dyDescent="0.25">
      <c r="A36" s="102">
        <v>10361030</v>
      </c>
      <c r="B36" s="103" t="s">
        <v>26</v>
      </c>
      <c r="C36" s="104"/>
      <c r="D36" s="217"/>
      <c r="E36" s="220"/>
      <c r="F36" s="222"/>
      <c r="G36" s="171" t="s">
        <v>107</v>
      </c>
      <c r="H36" s="108"/>
      <c r="I36" s="172">
        <f>IF($H$6="Period 1", VLOOKUP(E35&amp;G36&amp;$H$6,'Rebate Reference Table'!$E$5:$M$78,3,FALSE), VLOOKUP(E35&amp;G36&amp;$H$6,'Rebate Reference Table'!$F$5:$K$78,6,FALSE))</f>
        <v>120</v>
      </c>
      <c r="J36" s="173">
        <v>0.67</v>
      </c>
      <c r="K36" s="173">
        <v>1.5</v>
      </c>
      <c r="L36" s="174" t="s">
        <v>221</v>
      </c>
      <c r="M36" s="108"/>
      <c r="N36" s="175" t="str">
        <f>IFERROR((H36*3840)/(M36*43.56),"")</f>
        <v/>
      </c>
      <c r="O36" s="176">
        <f t="shared" si="3"/>
        <v>0</v>
      </c>
    </row>
    <row r="37" spans="1:15" s="89" customFormat="1" ht="16.2" thickBot="1" x14ac:dyDescent="0.35">
      <c r="A37" s="102"/>
      <c r="B37" s="91" t="s">
        <v>27</v>
      </c>
      <c r="C37" s="92"/>
      <c r="D37" s="135"/>
      <c r="E37" s="136" t="s">
        <v>27</v>
      </c>
      <c r="F37" s="137"/>
      <c r="G37" s="138"/>
      <c r="H37" s="139"/>
      <c r="I37" s="140"/>
      <c r="J37" s="141"/>
      <c r="K37" s="141"/>
      <c r="L37" s="141"/>
      <c r="M37" s="142"/>
      <c r="N37" s="143"/>
      <c r="O37" s="144"/>
    </row>
    <row r="38" spans="1:15" ht="24" customHeight="1" x14ac:dyDescent="0.3">
      <c r="A38" s="102">
        <v>10678464</v>
      </c>
      <c r="B38" s="103" t="s">
        <v>144</v>
      </c>
      <c r="C38" s="104"/>
      <c r="D38" s="223"/>
      <c r="E38" s="106" t="s">
        <v>158</v>
      </c>
      <c r="F38" s="145" t="s">
        <v>124</v>
      </c>
      <c r="G38" s="105" t="s">
        <v>111</v>
      </c>
      <c r="H38" s="108"/>
      <c r="I38" s="109">
        <f>IF($H$6="Period 1", VLOOKUP(E38&amp;G38&amp;$H$6,'Rebate Reference Table'!$E$5:$M$78,3,FALSE), VLOOKUP(E38&amp;G38&amp;$H$6,'Rebate Reference Table'!$F$5:$K$78,6,FALSE))</f>
        <v>20</v>
      </c>
      <c r="J38" s="110">
        <v>0.27</v>
      </c>
      <c r="K38" s="110">
        <v>0.54</v>
      </c>
      <c r="L38" s="110" t="s">
        <v>221</v>
      </c>
      <c r="M38" s="111"/>
      <c r="N38" s="124" t="str">
        <f>IFERROR((H38*64)/(M38*43.56),"")</f>
        <v/>
      </c>
      <c r="O38" s="113">
        <f t="shared" ref="O38:O39" si="4">H38*I38</f>
        <v>0</v>
      </c>
    </row>
    <row r="39" spans="1:15" ht="24" customHeight="1" x14ac:dyDescent="0.3">
      <c r="A39" s="132">
        <v>10678464</v>
      </c>
      <c r="B39" s="133" t="s">
        <v>145</v>
      </c>
      <c r="C39" s="104"/>
      <c r="D39" s="195"/>
      <c r="E39" s="121" t="s">
        <v>159</v>
      </c>
      <c r="F39" s="146" t="s">
        <v>124</v>
      </c>
      <c r="G39" s="147" t="s">
        <v>111</v>
      </c>
      <c r="H39" s="108"/>
      <c r="I39" s="122">
        <f>IF($H$6="Period 1", VLOOKUP(E39&amp;G39&amp;$H$6,'Rebate Reference Table'!$E$5:$M$78,3,FALSE), VLOOKUP(E39&amp;G39&amp;$H$6,'Rebate Reference Table'!$F$5:$K$78,6,FALSE))</f>
        <v>50</v>
      </c>
      <c r="J39" s="110">
        <v>0.27</v>
      </c>
      <c r="K39" s="110">
        <v>0.54</v>
      </c>
      <c r="L39" s="110" t="s">
        <v>221</v>
      </c>
      <c r="M39" s="111"/>
      <c r="N39" s="124" t="str">
        <f>IFERROR((H39*64)/(M39*43.56),"")</f>
        <v/>
      </c>
      <c r="O39" s="113">
        <f t="shared" si="4"/>
        <v>0</v>
      </c>
    </row>
    <row r="40" spans="1:15" ht="24" customHeight="1" x14ac:dyDescent="0.3">
      <c r="A40" s="132">
        <v>10669032</v>
      </c>
      <c r="B40" s="133" t="s">
        <v>28</v>
      </c>
      <c r="C40" s="129"/>
      <c r="D40" s="125"/>
      <c r="E40" s="115" t="s">
        <v>93</v>
      </c>
      <c r="F40" s="114" t="s">
        <v>124</v>
      </c>
      <c r="G40" s="114" t="s">
        <v>112</v>
      </c>
      <c r="H40" s="108"/>
      <c r="I40" s="116">
        <f>IF($H$6="Period 1", VLOOKUP(E40&amp;G40&amp;$H$6,'Rebate Reference Table'!$E$5:$M$78,3,FALSE), VLOOKUP(E40&amp;G40&amp;$H$6,'Rebate Reference Table'!$F$5:$K$78,6,FALSE))</f>
        <v>3</v>
      </c>
      <c r="J40" s="118">
        <v>80</v>
      </c>
      <c r="K40" s="118">
        <v>160</v>
      </c>
      <c r="L40" s="118" t="s">
        <v>173</v>
      </c>
      <c r="M40" s="111"/>
      <c r="N40" s="119" t="str">
        <f>IFERROR(H40*30/M40,"")</f>
        <v/>
      </c>
      <c r="O40" s="120">
        <f>H40*I40</f>
        <v>0</v>
      </c>
    </row>
    <row r="41" spans="1:15" ht="24" customHeight="1" x14ac:dyDescent="0.3">
      <c r="A41" s="132">
        <v>10677464</v>
      </c>
      <c r="B41" s="133" t="s">
        <v>146</v>
      </c>
      <c r="C41" s="129"/>
      <c r="D41" s="194"/>
      <c r="E41" s="121" t="s">
        <v>160</v>
      </c>
      <c r="F41" s="148" t="s">
        <v>124</v>
      </c>
      <c r="G41" s="147" t="s">
        <v>111</v>
      </c>
      <c r="H41" s="108"/>
      <c r="I41" s="122">
        <f>IF($H$6="Period 1", VLOOKUP(E41&amp;G41&amp;$H$6,'Rebate Reference Table'!$E$5:$M$78,3,FALSE), VLOOKUP(E41&amp;G41&amp;$H$6,'Rebate Reference Table'!$F$5:$K$78,6,FALSE))</f>
        <v>20</v>
      </c>
      <c r="J41" s="110">
        <v>0.27</v>
      </c>
      <c r="K41" s="110">
        <v>0.54</v>
      </c>
      <c r="L41" s="110" t="s">
        <v>221</v>
      </c>
      <c r="M41" s="111"/>
      <c r="N41" s="124" t="str">
        <f>IFERROR((H41*64)/(M41*43.56),"")</f>
        <v/>
      </c>
      <c r="O41" s="113">
        <f t="shared" ref="O41:O42" si="5">H41*I41</f>
        <v>0</v>
      </c>
    </row>
    <row r="42" spans="1:15" ht="24" customHeight="1" x14ac:dyDescent="0.3">
      <c r="A42" s="132">
        <v>10677464</v>
      </c>
      <c r="B42" s="133" t="s">
        <v>147</v>
      </c>
      <c r="C42" s="104"/>
      <c r="D42" s="195"/>
      <c r="E42" s="121" t="s">
        <v>161</v>
      </c>
      <c r="F42" s="148" t="s">
        <v>124</v>
      </c>
      <c r="G42" s="147" t="s">
        <v>111</v>
      </c>
      <c r="H42" s="108"/>
      <c r="I42" s="122">
        <f>IF($H$6="Period 1", VLOOKUP(E42&amp;G42&amp;$H$6,'Rebate Reference Table'!$E$5:$M$78,3,FALSE), VLOOKUP(E42&amp;G42&amp;$H$6,'Rebate Reference Table'!$F$5:$K$78,6,FALSE))</f>
        <v>50</v>
      </c>
      <c r="J42" s="110">
        <v>0.27</v>
      </c>
      <c r="K42" s="110">
        <v>0.54</v>
      </c>
      <c r="L42" s="110" t="s">
        <v>221</v>
      </c>
      <c r="M42" s="111"/>
      <c r="N42" s="124" t="str">
        <f>IFERROR((H42*64)/(M42*43.56),"")</f>
        <v/>
      </c>
      <c r="O42" s="113">
        <f t="shared" si="5"/>
        <v>0</v>
      </c>
    </row>
    <row r="43" spans="1:15" ht="24" customHeight="1" x14ac:dyDescent="0.3">
      <c r="A43" s="102">
        <v>10580032</v>
      </c>
      <c r="B43" s="103" t="s">
        <v>29</v>
      </c>
      <c r="C43" s="104"/>
      <c r="D43" s="125"/>
      <c r="E43" s="115" t="s">
        <v>79</v>
      </c>
      <c r="F43" s="114" t="s">
        <v>124</v>
      </c>
      <c r="G43" s="114" t="s">
        <v>112</v>
      </c>
      <c r="H43" s="108"/>
      <c r="I43" s="116">
        <f>IF($H$6="Period 1", VLOOKUP(E43&amp;G43&amp;$H$6,'Rebate Reference Table'!$E$5:$M$78,3,FALSE), VLOOKUP(E43&amp;G43&amp;$H$6,'Rebate Reference Table'!$F$5:$K$78,6,FALSE))</f>
        <v>3</v>
      </c>
      <c r="J43" s="126">
        <v>80</v>
      </c>
      <c r="K43" s="126">
        <v>160</v>
      </c>
      <c r="L43" s="118" t="s">
        <v>173</v>
      </c>
      <c r="M43" s="111"/>
      <c r="N43" s="119" t="str">
        <f>IFERROR(H43*30/M43,"")</f>
        <v/>
      </c>
      <c r="O43" s="120">
        <f>H43*I43</f>
        <v>0</v>
      </c>
    </row>
    <row r="44" spans="1:15" ht="24" customHeight="1" x14ac:dyDescent="0.3">
      <c r="A44" s="102">
        <v>10581440</v>
      </c>
      <c r="B44" s="103" t="s">
        <v>30</v>
      </c>
      <c r="C44" s="104"/>
      <c r="D44" s="105"/>
      <c r="E44" s="121" t="s">
        <v>80</v>
      </c>
      <c r="F44" s="107" t="s">
        <v>124</v>
      </c>
      <c r="G44" s="107" t="s">
        <v>113</v>
      </c>
      <c r="H44" s="108"/>
      <c r="I44" s="122">
        <f>IF($H$6="Period 1", VLOOKUP(E44&amp;G44&amp;$H$6,'Rebate Reference Table'!$E$5:$M$78,3,FALSE), VLOOKUP(E44&amp;G44&amp;$H$6,'Rebate Reference Table'!$F$5:$K$78,6,FALSE))</f>
        <v>50</v>
      </c>
      <c r="J44" s="123">
        <v>6.4</v>
      </c>
      <c r="K44" s="123">
        <v>12.8</v>
      </c>
      <c r="L44" s="110" t="s">
        <v>178</v>
      </c>
      <c r="M44" s="111"/>
      <c r="N44" s="124" t="str">
        <f>IFERROR(H44*40/M44,"")</f>
        <v/>
      </c>
      <c r="O44" s="113">
        <f t="shared" ref="O44:O45" si="6">H44*I44</f>
        <v>0</v>
      </c>
    </row>
    <row r="45" spans="1:15" ht="24" customHeight="1" x14ac:dyDescent="0.3">
      <c r="A45" s="102"/>
      <c r="B45" s="103"/>
      <c r="C45" s="104"/>
      <c r="D45" s="186" t="s">
        <v>216</v>
      </c>
      <c r="E45" s="187" t="s">
        <v>214</v>
      </c>
      <c r="F45" s="177" t="s">
        <v>215</v>
      </c>
      <c r="G45" s="177" t="s">
        <v>113</v>
      </c>
      <c r="H45" s="108"/>
      <c r="I45" s="178">
        <f>IF($H$6="Period 1", VLOOKUP(E45&amp;G45&amp;$H$6,'Rebate Reference Table'!$E$5:$M$78,3,FALSE), VLOOKUP(E45&amp;G45&amp;$H$6,'Rebate Reference Table'!$F$5:$K$78,6,FALSE))</f>
        <v>40</v>
      </c>
      <c r="J45" s="184">
        <v>6.4</v>
      </c>
      <c r="K45" s="184">
        <v>6.4</v>
      </c>
      <c r="L45" s="180" t="s">
        <v>178</v>
      </c>
      <c r="M45" s="111"/>
      <c r="N45" s="183" t="str">
        <f>IFERROR(H45*40/M45,"")</f>
        <v/>
      </c>
      <c r="O45" s="182">
        <f t="shared" si="6"/>
        <v>0</v>
      </c>
    </row>
    <row r="46" spans="1:15" ht="24" customHeight="1" x14ac:dyDescent="0.3">
      <c r="A46" s="102">
        <v>10586301</v>
      </c>
      <c r="B46" s="103" t="s">
        <v>31</v>
      </c>
      <c r="C46" s="104"/>
      <c r="D46" s="188"/>
      <c r="E46" s="169" t="s">
        <v>82</v>
      </c>
      <c r="F46" s="171"/>
      <c r="G46" s="171" t="s">
        <v>106</v>
      </c>
      <c r="H46" s="108"/>
      <c r="I46" s="172">
        <f>IF($H$6="Period 1", VLOOKUP(E46&amp;G46&amp;$H$6,'Rebate Reference Table'!$E$5:$M$78,3,FALSE), VLOOKUP(E46&amp;G46&amp;$H$6,'Rebate Reference Table'!$F$5:$K$78,6,FALSE))</f>
        <v>1</v>
      </c>
      <c r="J46" s="173">
        <v>0.5</v>
      </c>
      <c r="K46" s="173">
        <v>2</v>
      </c>
      <c r="L46" s="174" t="s">
        <v>173</v>
      </c>
      <c r="M46" s="108"/>
      <c r="N46" s="189" t="str">
        <f>IFERROR(H46/M46,"")</f>
        <v/>
      </c>
      <c r="O46" s="176">
        <f>H46*I46</f>
        <v>0</v>
      </c>
    </row>
    <row r="47" spans="1:15" ht="24" customHeight="1" x14ac:dyDescent="0.3">
      <c r="A47" s="102">
        <v>10588432</v>
      </c>
      <c r="B47" s="103" t="s">
        <v>32</v>
      </c>
      <c r="C47" s="104"/>
      <c r="D47" s="177"/>
      <c r="E47" s="187" t="s">
        <v>83</v>
      </c>
      <c r="F47" s="177"/>
      <c r="G47" s="177" t="s">
        <v>114</v>
      </c>
      <c r="H47" s="108"/>
      <c r="I47" s="178">
        <f>IF($H$6="Period 1", VLOOKUP(E47&amp;G47&amp;$H$6,'Rebate Reference Table'!$E$5:$M$78,3,FALSE), VLOOKUP(E47&amp;G47&amp;$H$6,'Rebate Reference Table'!$F$5:$K$78,6,FALSE))</f>
        <v>10</v>
      </c>
      <c r="J47" s="184">
        <v>6</v>
      </c>
      <c r="K47" s="184">
        <v>12</v>
      </c>
      <c r="L47" s="184" t="s">
        <v>179</v>
      </c>
      <c r="M47" s="108"/>
      <c r="N47" s="190" t="str">
        <f>IFERROR(H47*3200/M47,"")</f>
        <v/>
      </c>
      <c r="O47" s="182">
        <f>H47*I47</f>
        <v>0</v>
      </c>
    </row>
    <row r="48" spans="1:15" ht="24" customHeight="1" x14ac:dyDescent="0.3">
      <c r="A48" s="149">
        <v>10809861</v>
      </c>
      <c r="B48" s="150" t="s">
        <v>58</v>
      </c>
      <c r="C48" s="129"/>
      <c r="D48" s="171"/>
      <c r="E48" s="169" t="s">
        <v>98</v>
      </c>
      <c r="F48" s="171"/>
      <c r="G48" s="171" t="s">
        <v>110</v>
      </c>
      <c r="H48" s="108"/>
      <c r="I48" s="172">
        <f>IF($H$6="Period 1", VLOOKUP(E48&amp;G48&amp;$H$6,'Rebate Reference Table'!$E$5:$M$78,3,FALSE), VLOOKUP(E48&amp;G48&amp;$H$6,'Rebate Reference Table'!$F$5:$K$78,6,FALSE))</f>
        <v>20</v>
      </c>
      <c r="J48" s="173">
        <v>2</v>
      </c>
      <c r="K48" s="173">
        <v>4</v>
      </c>
      <c r="L48" s="173" t="s">
        <v>179</v>
      </c>
      <c r="M48" s="108"/>
      <c r="N48" s="191" t="str">
        <f>IFERROR(H48*1600/M48,"")</f>
        <v/>
      </c>
      <c r="O48" s="176">
        <f>H48*I48</f>
        <v>0</v>
      </c>
    </row>
    <row r="49" spans="1:15" ht="24" customHeight="1" x14ac:dyDescent="0.3">
      <c r="A49" s="102">
        <v>10591163</v>
      </c>
      <c r="B49" s="103" t="s">
        <v>33</v>
      </c>
      <c r="C49" s="104"/>
      <c r="D49" s="177"/>
      <c r="E49" s="187" t="s">
        <v>85</v>
      </c>
      <c r="F49" s="177"/>
      <c r="G49" s="177" t="s">
        <v>115</v>
      </c>
      <c r="H49" s="108"/>
      <c r="I49" s="178">
        <f>IF($H$6="Period 1", VLOOKUP(E49&amp;G49&amp;$H$6,'Rebate Reference Table'!$E$5:$M$78,3,FALSE), VLOOKUP(E49&amp;G49&amp;$H$6,'Rebate Reference Table'!$F$5:$K$78,6,FALSE))</f>
        <v>16</v>
      </c>
      <c r="J49" s="184">
        <v>3.2</v>
      </c>
      <c r="K49" s="184">
        <v>26</v>
      </c>
      <c r="L49" s="184" t="s">
        <v>180</v>
      </c>
      <c r="M49" s="108"/>
      <c r="N49" s="190" t="str">
        <f>IFERROR(H49*25600/M49,"")</f>
        <v/>
      </c>
      <c r="O49" s="182">
        <f>H49*I49</f>
        <v>0</v>
      </c>
    </row>
    <row r="50" spans="1:15" ht="24" customHeight="1" x14ac:dyDescent="0.25">
      <c r="A50" s="102">
        <v>10666432</v>
      </c>
      <c r="B50" s="103" t="s">
        <v>34</v>
      </c>
      <c r="C50" s="104"/>
      <c r="D50" s="215"/>
      <c r="E50" s="219" t="s">
        <v>92</v>
      </c>
      <c r="F50" s="215"/>
      <c r="G50" s="171" t="s">
        <v>114</v>
      </c>
      <c r="H50" s="108"/>
      <c r="I50" s="172">
        <f>IF($H$6="Period 1", VLOOKUP(E50&amp;G50&amp;$H$6,'Rebate Reference Table'!$E$5:$M$78,3,FALSE), VLOOKUP(E50&amp;G50&amp;$H$6,'Rebate Reference Table'!$F$5:$K$78,6,FALSE))</f>
        <v>5</v>
      </c>
      <c r="J50" s="173">
        <v>4</v>
      </c>
      <c r="K50" s="173">
        <v>8</v>
      </c>
      <c r="L50" s="173" t="s">
        <v>179</v>
      </c>
      <c r="M50" s="108"/>
      <c r="N50" s="191" t="str">
        <f>IFERROR(H50*1600/M50,"")</f>
        <v/>
      </c>
      <c r="O50" s="176">
        <f t="shared" ref="O50:O51" si="7">H50*I50</f>
        <v>0</v>
      </c>
    </row>
    <row r="51" spans="1:15" ht="24" customHeight="1" x14ac:dyDescent="0.25">
      <c r="A51" s="102">
        <v>10666041</v>
      </c>
      <c r="B51" s="103" t="s">
        <v>35</v>
      </c>
      <c r="C51" s="104"/>
      <c r="D51" s="217"/>
      <c r="E51" s="220"/>
      <c r="F51" s="217"/>
      <c r="G51" s="171" t="s">
        <v>116</v>
      </c>
      <c r="H51" s="108"/>
      <c r="I51" s="172">
        <f>IF($H$6="Period 1", VLOOKUP(E50&amp;G51&amp;$H$6,'Rebate Reference Table'!$E$5:$M$78,3,FALSE), VLOOKUP(E50&amp;G51&amp;$H$6,'Rebate Reference Table'!$F$5:$K$78,6,FALSE))</f>
        <v>20</v>
      </c>
      <c r="J51" s="173">
        <v>4</v>
      </c>
      <c r="K51" s="173">
        <v>8</v>
      </c>
      <c r="L51" s="173" t="s">
        <v>179</v>
      </c>
      <c r="M51" s="108"/>
      <c r="N51" s="191" t="str">
        <f>IFERROR(H51*12800/M51,"")</f>
        <v/>
      </c>
      <c r="O51" s="176">
        <f t="shared" si="7"/>
        <v>0</v>
      </c>
    </row>
    <row r="52" spans="1:15" ht="24" customHeight="1" x14ac:dyDescent="0.3">
      <c r="A52" s="102">
        <v>10592882</v>
      </c>
      <c r="B52" s="103" t="s">
        <v>36</v>
      </c>
      <c r="C52" s="104"/>
      <c r="D52" s="177"/>
      <c r="E52" s="187" t="s">
        <v>86</v>
      </c>
      <c r="F52" s="177"/>
      <c r="G52" s="177" t="s">
        <v>106</v>
      </c>
      <c r="H52" s="108"/>
      <c r="I52" s="178">
        <f>IF($H$6="Period 1", VLOOKUP(E52&amp;G52&amp;$H$6,'Rebate Reference Table'!$E$5:$M$78,3,FALSE), VLOOKUP(E52&amp;G52&amp;$H$6,'Rebate Reference Table'!$F$5:$K$78,6,FALSE))</f>
        <v>6</v>
      </c>
      <c r="J52" s="184">
        <v>8</v>
      </c>
      <c r="K52" s="184">
        <v>8</v>
      </c>
      <c r="L52" s="184" t="s">
        <v>180</v>
      </c>
      <c r="M52" s="108"/>
      <c r="N52" s="190" t="str">
        <f>IFERROR(H52*1600/M52,"")</f>
        <v/>
      </c>
      <c r="O52" s="182">
        <f>H52*I52</f>
        <v>0</v>
      </c>
    </row>
    <row r="53" spans="1:15" ht="24" customHeight="1" x14ac:dyDescent="0.25">
      <c r="A53" s="102">
        <v>10594164</v>
      </c>
      <c r="B53" s="103" t="s">
        <v>37</v>
      </c>
      <c r="C53" s="104"/>
      <c r="D53" s="215"/>
      <c r="E53" s="219" t="s">
        <v>87</v>
      </c>
      <c r="F53" s="242" t="s">
        <v>209</v>
      </c>
      <c r="G53" s="171" t="s">
        <v>117</v>
      </c>
      <c r="H53" s="108"/>
      <c r="I53" s="172">
        <f>IF($H$6="Period 1", VLOOKUP(E53&amp;G53&amp;$H$6,'Rebate Reference Table'!$E$5:$M$78,3,FALSE), VLOOKUP(E53&amp;G53&amp;$H$6,'Rebate Reference Table'!$F$5:$K$78,6,FALSE))</f>
        <v>6</v>
      </c>
      <c r="J53" s="173">
        <v>3.5</v>
      </c>
      <c r="K53" s="173">
        <v>8</v>
      </c>
      <c r="L53" s="173" t="s">
        <v>180</v>
      </c>
      <c r="M53" s="108"/>
      <c r="N53" s="191" t="str">
        <f>IFERROR(H53*1200/M53,"")</f>
        <v/>
      </c>
      <c r="O53" s="176">
        <f t="shared" ref="O53:O54" si="8">H53*I53</f>
        <v>0</v>
      </c>
    </row>
    <row r="54" spans="1:15" ht="24" customHeight="1" x14ac:dyDescent="0.25">
      <c r="A54" s="102">
        <v>10594403</v>
      </c>
      <c r="B54" s="103" t="s">
        <v>38</v>
      </c>
      <c r="C54" s="104"/>
      <c r="D54" s="217"/>
      <c r="E54" s="220"/>
      <c r="F54" s="243"/>
      <c r="G54" s="171" t="s">
        <v>134</v>
      </c>
      <c r="H54" s="108"/>
      <c r="I54" s="172">
        <f>IF($H$6="Period 1", VLOOKUP(E53&amp;G54&amp;$H$6,'Rebate Reference Table'!$E$5:$M$78,3,FALSE), VLOOKUP(E53&amp;G54&amp;$H$6,'Rebate Reference Table'!$F$5:$K$78,6,FALSE))</f>
        <v>24</v>
      </c>
      <c r="J54" s="173">
        <v>3.5</v>
      </c>
      <c r="K54" s="173">
        <v>8</v>
      </c>
      <c r="L54" s="173" t="s">
        <v>180</v>
      </c>
      <c r="M54" s="108"/>
      <c r="N54" s="191" t="str">
        <f>IFERROR(H54*4800/M54,"")</f>
        <v/>
      </c>
      <c r="O54" s="176">
        <f t="shared" si="8"/>
        <v>0</v>
      </c>
    </row>
    <row r="55" spans="1:15" ht="24" customHeight="1" x14ac:dyDescent="0.3">
      <c r="A55" s="102">
        <v>10598121</v>
      </c>
      <c r="B55" s="103" t="s">
        <v>39</v>
      </c>
      <c r="C55" s="104"/>
      <c r="D55" s="177"/>
      <c r="E55" s="187" t="s">
        <v>89</v>
      </c>
      <c r="F55" s="177"/>
      <c r="G55" s="177" t="s">
        <v>114</v>
      </c>
      <c r="H55" s="108"/>
      <c r="I55" s="178">
        <f>IF($H$6="Period 1", VLOOKUP(E55&amp;G55&amp;$H$6,'Rebate Reference Table'!$E$5:$M$78,3,FALSE), VLOOKUP(E55&amp;G55&amp;$H$6,'Rebate Reference Table'!$F$5:$K$78,6,FALSE))</f>
        <v>4</v>
      </c>
      <c r="J55" s="184">
        <v>5.33</v>
      </c>
      <c r="K55" s="184">
        <v>16</v>
      </c>
      <c r="L55" s="184" t="s">
        <v>179</v>
      </c>
      <c r="M55" s="108"/>
      <c r="N55" s="190" t="str">
        <f>IFERROR(H55*3200/M55,"")</f>
        <v/>
      </c>
      <c r="O55" s="182">
        <f>H55*I55</f>
        <v>0</v>
      </c>
    </row>
    <row r="56" spans="1:15" ht="24" customHeight="1" x14ac:dyDescent="0.3">
      <c r="A56" s="102">
        <v>10599882</v>
      </c>
      <c r="B56" s="103" t="s">
        <v>40</v>
      </c>
      <c r="C56" s="104"/>
      <c r="D56" s="171"/>
      <c r="E56" s="169" t="s">
        <v>90</v>
      </c>
      <c r="F56" s="171"/>
      <c r="G56" s="171" t="s">
        <v>106</v>
      </c>
      <c r="H56" s="108"/>
      <c r="I56" s="172">
        <f>IF($H$6="Period 1", VLOOKUP(E56&amp;G56&amp;$H$6,'Rebate Reference Table'!$E$5:$M$78,3,FALSE), VLOOKUP(E56&amp;G56&amp;$H$6,'Rebate Reference Table'!$F$5:$K$78,6,FALSE))</f>
        <v>6</v>
      </c>
      <c r="J56" s="173">
        <v>8</v>
      </c>
      <c r="K56" s="173">
        <v>16</v>
      </c>
      <c r="L56" s="173" t="s">
        <v>180</v>
      </c>
      <c r="M56" s="108"/>
      <c r="N56" s="191" t="str">
        <f>IFERROR(H56*1600/M56,"")</f>
        <v/>
      </c>
      <c r="O56" s="176">
        <f>H56*I56</f>
        <v>0</v>
      </c>
    </row>
    <row r="57" spans="1:15" ht="24" customHeight="1" x14ac:dyDescent="0.25">
      <c r="A57" s="102">
        <v>10520432</v>
      </c>
      <c r="B57" s="103" t="s">
        <v>41</v>
      </c>
      <c r="C57" s="104"/>
      <c r="D57" s="210"/>
      <c r="E57" s="206" t="s">
        <v>75</v>
      </c>
      <c r="F57" s="210"/>
      <c r="G57" s="177" t="s">
        <v>114</v>
      </c>
      <c r="H57" s="108"/>
      <c r="I57" s="178">
        <f>IF($H$6="Period 1", VLOOKUP(E57&amp;G57&amp;$H$6,'Rebate Reference Table'!$E$5:$M$78,3,FALSE), VLOOKUP(E57&amp;G57&amp;$H$6,'Rebate Reference Table'!$F$5:$K$78,6,FALSE))</f>
        <v>12.5</v>
      </c>
      <c r="J57" s="184">
        <v>4</v>
      </c>
      <c r="K57" s="184">
        <v>25.3</v>
      </c>
      <c r="L57" s="184" t="s">
        <v>179</v>
      </c>
      <c r="M57" s="108"/>
      <c r="N57" s="190" t="str">
        <f>IFERROR(H57*3200/M57,"")</f>
        <v/>
      </c>
      <c r="O57" s="182">
        <f t="shared" ref="O57:O58" si="9">H57*I57</f>
        <v>0</v>
      </c>
    </row>
    <row r="58" spans="1:15" ht="24" customHeight="1" x14ac:dyDescent="0.25">
      <c r="A58" s="102">
        <v>10520041</v>
      </c>
      <c r="B58" s="103" t="s">
        <v>42</v>
      </c>
      <c r="C58" s="104"/>
      <c r="D58" s="211"/>
      <c r="E58" s="207"/>
      <c r="F58" s="211"/>
      <c r="G58" s="177" t="s">
        <v>116</v>
      </c>
      <c r="H58" s="108"/>
      <c r="I58" s="178">
        <f>IF($H$6="Period 1", VLOOKUP(E57&amp;G58&amp;$H$6,'Rebate Reference Table'!$E$5:$M$78,3,FALSE), VLOOKUP(E57&amp;G58&amp;$H$6,'Rebate Reference Table'!$F$5:$K$78,6,FALSE))</f>
        <v>50</v>
      </c>
      <c r="J58" s="184">
        <v>4</v>
      </c>
      <c r="K58" s="184">
        <v>25.3</v>
      </c>
      <c r="L58" s="184" t="s">
        <v>179</v>
      </c>
      <c r="M58" s="108"/>
      <c r="N58" s="190" t="str">
        <f>IFERROR(H58*12800/M58,"")</f>
        <v/>
      </c>
      <c r="O58" s="182">
        <f t="shared" si="9"/>
        <v>0</v>
      </c>
    </row>
    <row r="59" spans="1:15" s="89" customFormat="1" ht="16.2" thickBot="1" x14ac:dyDescent="0.35">
      <c r="A59" s="102"/>
      <c r="B59" s="91" t="s">
        <v>43</v>
      </c>
      <c r="C59" s="92"/>
      <c r="D59" s="135"/>
      <c r="E59" s="136" t="s">
        <v>43</v>
      </c>
      <c r="F59" s="137"/>
      <c r="G59" s="138"/>
      <c r="H59" s="138"/>
      <c r="I59" s="140"/>
      <c r="J59" s="141"/>
      <c r="K59" s="141"/>
      <c r="L59" s="141"/>
      <c r="M59" s="142"/>
      <c r="N59" s="143"/>
      <c r="O59" s="144"/>
    </row>
    <row r="60" spans="1:15" ht="24" customHeight="1" x14ac:dyDescent="0.3">
      <c r="A60" s="102">
        <v>10502225</v>
      </c>
      <c r="B60" s="103" t="s">
        <v>44</v>
      </c>
      <c r="C60" s="104"/>
      <c r="D60" s="125"/>
      <c r="E60" s="151" t="s">
        <v>74</v>
      </c>
      <c r="F60" s="114" t="s">
        <v>128</v>
      </c>
      <c r="G60" s="125" t="s">
        <v>101</v>
      </c>
      <c r="H60" s="108"/>
      <c r="I60" s="152">
        <f>IF($H$6="Period 1", VLOOKUP(E60&amp;G60&amp;$H$6,'Rebate Reference Table'!$E$5:$M$78,3,FALSE), VLOOKUP(E60&amp;G60&amp;$H$6,'Rebate Reference Table'!$F$5:$K$78,6,FALSE))</f>
        <v>20</v>
      </c>
      <c r="J60" s="118">
        <v>1</v>
      </c>
      <c r="K60" s="118">
        <v>8</v>
      </c>
      <c r="L60" s="118" t="s">
        <v>221</v>
      </c>
      <c r="M60" s="111"/>
      <c r="N60" s="130" t="str">
        <f>IFERROR((H60*320)/(M60*43.56),"")</f>
        <v/>
      </c>
      <c r="O60" s="120">
        <f>H60*I60</f>
        <v>0</v>
      </c>
    </row>
    <row r="61" spans="1:15" ht="24" customHeight="1" x14ac:dyDescent="0.3">
      <c r="A61" s="102">
        <v>10556045</v>
      </c>
      <c r="B61" s="103" t="s">
        <v>45</v>
      </c>
      <c r="C61" s="104"/>
      <c r="D61" s="105"/>
      <c r="E61" s="121" t="s">
        <v>77</v>
      </c>
      <c r="F61" s="107"/>
      <c r="G61" s="107" t="s">
        <v>135</v>
      </c>
      <c r="H61" s="108"/>
      <c r="I61" s="122">
        <f>IF($H$6="Period 1", VLOOKUP(E61&amp;G61&amp;$H$6,'Rebate Reference Table'!$E$5:$M$78,3,FALSE), VLOOKUP(E61&amp;G61&amp;$H$6,'Rebate Reference Table'!$F$5:$K$78,6,FALSE))</f>
        <v>10</v>
      </c>
      <c r="J61" s="153">
        <v>2</v>
      </c>
      <c r="K61" s="153">
        <v>6</v>
      </c>
      <c r="L61" s="110" t="s">
        <v>223</v>
      </c>
      <c r="M61" s="111"/>
      <c r="N61" s="124" t="str">
        <f>IFERROR((H61*80)/(M61*43.56),"")</f>
        <v/>
      </c>
      <c r="O61" s="113">
        <f>H61*I61</f>
        <v>0</v>
      </c>
    </row>
    <row r="62" spans="1:15" ht="24" customHeight="1" x14ac:dyDescent="0.3">
      <c r="A62" s="102">
        <v>10498121</v>
      </c>
      <c r="B62" s="103" t="s">
        <v>46</v>
      </c>
      <c r="C62" s="104"/>
      <c r="D62" s="125"/>
      <c r="E62" s="115" t="s">
        <v>71</v>
      </c>
      <c r="F62" s="114"/>
      <c r="G62" s="114" t="s">
        <v>114</v>
      </c>
      <c r="H62" s="108"/>
      <c r="I62" s="116">
        <f>IF($H$6="Period 1", VLOOKUP(E62&amp;G62&amp;$H$6,'Rebate Reference Table'!$E$5:$M$78,3,FALSE), VLOOKUP(E62&amp;G62&amp;$H$6,'Rebate Reference Table'!$F$5:$K$78,6,FALSE))</f>
        <v>3</v>
      </c>
      <c r="J62" s="126">
        <v>2</v>
      </c>
      <c r="K62" s="126">
        <v>6</v>
      </c>
      <c r="L62" s="118" t="s">
        <v>179</v>
      </c>
      <c r="M62" s="111"/>
      <c r="N62" s="190" t="str">
        <f>IFERROR(H62*3200/M62,"")</f>
        <v/>
      </c>
      <c r="O62" s="120">
        <f>H62*I62</f>
        <v>0</v>
      </c>
    </row>
    <row r="63" spans="1:15" ht="24" customHeight="1" x14ac:dyDescent="0.3">
      <c r="A63" s="102">
        <v>10498225</v>
      </c>
      <c r="B63" s="103" t="s">
        <v>148</v>
      </c>
      <c r="C63" s="104"/>
      <c r="D63" s="194"/>
      <c r="E63" s="121" t="s">
        <v>162</v>
      </c>
      <c r="F63" s="154"/>
      <c r="G63" s="107" t="s">
        <v>101</v>
      </c>
      <c r="H63" s="108"/>
      <c r="I63" s="122">
        <f>IF($H$6="Period 1", VLOOKUP(E63&amp;G63&amp;$H$6,'Rebate Reference Table'!$E$5:$M$78,3,FALSE), VLOOKUP(E63&amp;G63&amp;$H$6,'Rebate Reference Table'!$F$5:$K$78,6,FALSE))</f>
        <v>20</v>
      </c>
      <c r="J63" s="153">
        <v>2</v>
      </c>
      <c r="K63" s="153">
        <v>6</v>
      </c>
      <c r="L63" s="192" t="s">
        <v>179</v>
      </c>
      <c r="M63" s="111"/>
      <c r="N63" s="193" t="str">
        <f>IFERROR(H63*32000/M63,"")</f>
        <v/>
      </c>
      <c r="O63" s="113">
        <f t="shared" ref="O63:O64" si="10">H63*I63</f>
        <v>0</v>
      </c>
    </row>
    <row r="64" spans="1:15" ht="24" customHeight="1" x14ac:dyDescent="0.3">
      <c r="A64" s="132">
        <v>10498225</v>
      </c>
      <c r="B64" s="133" t="s">
        <v>155</v>
      </c>
      <c r="C64" s="104"/>
      <c r="D64" s="195"/>
      <c r="E64" s="121" t="s">
        <v>163</v>
      </c>
      <c r="F64" s="155"/>
      <c r="G64" s="147" t="s">
        <v>101</v>
      </c>
      <c r="H64" s="108"/>
      <c r="I64" s="122">
        <f>IF($H$6="Period 1", VLOOKUP(E64&amp;G64&amp;$H$6,'Rebate Reference Table'!$E$5:$M$78,3,FALSE), VLOOKUP(E64&amp;G64&amp;$H$6,'Rebate Reference Table'!$F$5:$K$78,6,FALSE))</f>
        <v>40</v>
      </c>
      <c r="J64" s="153">
        <v>2</v>
      </c>
      <c r="K64" s="153">
        <v>6</v>
      </c>
      <c r="L64" s="192" t="s">
        <v>179</v>
      </c>
      <c r="M64" s="111"/>
      <c r="N64" s="193" t="str">
        <f>IFERROR(H64*32000/M64,"")</f>
        <v/>
      </c>
      <c r="O64" s="113">
        <f t="shared" si="10"/>
        <v>0</v>
      </c>
    </row>
    <row r="65" spans="1:15" ht="24" customHeight="1" x14ac:dyDescent="0.3">
      <c r="A65" s="102">
        <v>10495032</v>
      </c>
      <c r="B65" s="103" t="s">
        <v>47</v>
      </c>
      <c r="C65" s="104"/>
      <c r="D65" s="125"/>
      <c r="E65" s="115" t="s">
        <v>70</v>
      </c>
      <c r="F65" s="114" t="s">
        <v>129</v>
      </c>
      <c r="G65" s="114" t="s">
        <v>112</v>
      </c>
      <c r="H65" s="108"/>
      <c r="I65" s="116">
        <f>IF($H$6="Period 1", VLOOKUP(E65&amp;G65&amp;$H$6,'Rebate Reference Table'!$E$5:$M$78,3,FALSE), VLOOKUP(E65&amp;G65&amp;$H$6,'Rebate Reference Table'!$F$5:$K$78,6,FALSE))</f>
        <v>3</v>
      </c>
      <c r="J65" s="126">
        <v>1.5</v>
      </c>
      <c r="K65" s="126">
        <v>9</v>
      </c>
      <c r="L65" s="118" t="s">
        <v>224</v>
      </c>
      <c r="M65" s="111"/>
      <c r="N65" s="119" t="str">
        <f>IFERROR((H65*30)/(M65*43.56),"")</f>
        <v/>
      </c>
      <c r="O65" s="120">
        <f>H65*I65</f>
        <v>0</v>
      </c>
    </row>
    <row r="66" spans="1:15" ht="24" customHeight="1" x14ac:dyDescent="0.3">
      <c r="A66" s="102">
        <v>10579121</v>
      </c>
      <c r="B66" s="103" t="s">
        <v>48</v>
      </c>
      <c r="C66" s="104"/>
      <c r="D66" s="107"/>
      <c r="E66" s="121" t="s">
        <v>78</v>
      </c>
      <c r="F66" s="107"/>
      <c r="G66" s="107" t="s">
        <v>114</v>
      </c>
      <c r="H66" s="108"/>
      <c r="I66" s="122">
        <f>IF($H$6="Period 1", VLOOKUP(E66&amp;G66&amp;$H$6,'Rebate Reference Table'!$E$5:$M$78,3,FALSE), VLOOKUP(E66&amp;G66&amp;$H$6,'Rebate Reference Table'!$F$5:$K$78,6,FALSE))</f>
        <v>15</v>
      </c>
      <c r="J66" s="123">
        <v>1</v>
      </c>
      <c r="K66" s="123">
        <v>4</v>
      </c>
      <c r="L66" s="123" t="s">
        <v>179</v>
      </c>
      <c r="M66" s="111"/>
      <c r="N66" s="156" t="str">
        <f>IFERROR(H66*3200/M66,"")</f>
        <v/>
      </c>
      <c r="O66" s="113">
        <f>H66*I66</f>
        <v>0</v>
      </c>
    </row>
    <row r="67" spans="1:15" ht="24" customHeight="1" x14ac:dyDescent="0.3">
      <c r="A67" s="102">
        <v>10500324</v>
      </c>
      <c r="B67" s="103" t="s">
        <v>49</v>
      </c>
      <c r="C67" s="104"/>
      <c r="D67" s="125"/>
      <c r="E67" s="115" t="s">
        <v>72</v>
      </c>
      <c r="F67" s="114"/>
      <c r="G67" s="114" t="s">
        <v>119</v>
      </c>
      <c r="H67" s="108"/>
      <c r="I67" s="116">
        <f>IF($H$6="Period 1", VLOOKUP(E67&amp;G67&amp;$H$6,'Rebate Reference Table'!$E$5:$M$78,3,FALSE), VLOOKUP(E67&amp;G67&amp;$H$6,'Rebate Reference Table'!$F$5:$K$78,6,FALSE))</f>
        <v>9.5</v>
      </c>
      <c r="J67" s="126">
        <v>0.88149999999999995</v>
      </c>
      <c r="K67" s="126">
        <v>1</v>
      </c>
      <c r="L67" s="118" t="s">
        <v>223</v>
      </c>
      <c r="M67" s="111"/>
      <c r="N67" s="119" t="str">
        <f>IFERROR((H67*38.4)/(M67*43.56),"")</f>
        <v/>
      </c>
      <c r="O67" s="120">
        <f>H67*I67</f>
        <v>0</v>
      </c>
    </row>
    <row r="68" spans="1:15" ht="33.75" customHeight="1" x14ac:dyDescent="0.3">
      <c r="A68" s="102">
        <v>10702460</v>
      </c>
      <c r="B68" s="103" t="s">
        <v>151</v>
      </c>
      <c r="C68" s="104"/>
      <c r="D68" s="194"/>
      <c r="E68" s="121" t="s">
        <v>165</v>
      </c>
      <c r="F68" s="244" t="s">
        <v>213</v>
      </c>
      <c r="G68" s="107" t="s">
        <v>120</v>
      </c>
      <c r="H68" s="108"/>
      <c r="I68" s="122">
        <f>IF($H$6="Period 1", VLOOKUP(E68&amp;G68&amp;$H$6,'Rebate Reference Table'!$E$5:$M$78,3,FALSE), VLOOKUP(E68&amp;G68&amp;$H$6,'Rebate Reference Table'!$F$5:$K$78,6,FALSE))</f>
        <v>10</v>
      </c>
      <c r="J68" s="153">
        <v>0.27500000000000002</v>
      </c>
      <c r="K68" s="153">
        <v>0.31</v>
      </c>
      <c r="L68" s="110" t="s">
        <v>221</v>
      </c>
      <c r="M68" s="111"/>
      <c r="N68" s="124" t="str">
        <f>IFERROR((H68*60)/(M68*43.56),"")</f>
        <v/>
      </c>
      <c r="O68" s="113">
        <f t="shared" ref="O68:O69" si="11">H68*I68</f>
        <v>0</v>
      </c>
    </row>
    <row r="69" spans="1:15" ht="34.5" customHeight="1" x14ac:dyDescent="0.3">
      <c r="A69" s="132">
        <v>10702460</v>
      </c>
      <c r="B69" s="133" t="s">
        <v>152</v>
      </c>
      <c r="C69" s="104"/>
      <c r="D69" s="195"/>
      <c r="E69" s="121" t="s">
        <v>164</v>
      </c>
      <c r="F69" s="245"/>
      <c r="G69" s="147" t="s">
        <v>120</v>
      </c>
      <c r="H69" s="108"/>
      <c r="I69" s="122">
        <f>IF($H$6="Period 1", VLOOKUP(E69&amp;G69&amp;$H$6,'Rebate Reference Table'!$E$5:$M$78,3,FALSE), VLOOKUP(E69&amp;G69&amp;$H$6,'Rebate Reference Table'!$F$5:$K$78,6,FALSE))</f>
        <v>30</v>
      </c>
      <c r="J69" s="153">
        <v>0.27500000000000002</v>
      </c>
      <c r="K69" s="153">
        <v>0.31</v>
      </c>
      <c r="L69" s="110" t="s">
        <v>221</v>
      </c>
      <c r="M69" s="111"/>
      <c r="N69" s="124" t="str">
        <f>IFERROR((H69*60)/(M69*43.56),"")</f>
        <v/>
      </c>
      <c r="O69" s="113">
        <f t="shared" si="11"/>
        <v>0</v>
      </c>
    </row>
    <row r="70" spans="1:15" ht="24" customHeight="1" x14ac:dyDescent="0.3">
      <c r="A70" s="102">
        <v>10501045</v>
      </c>
      <c r="B70" s="103" t="s">
        <v>50</v>
      </c>
      <c r="C70" s="104"/>
      <c r="D70" s="125"/>
      <c r="E70" s="115" t="s">
        <v>73</v>
      </c>
      <c r="F70" s="114"/>
      <c r="G70" s="114" t="s">
        <v>118</v>
      </c>
      <c r="H70" s="108"/>
      <c r="I70" s="116">
        <f>IF($H$6="Period 1", VLOOKUP(E70&amp;G70&amp;$H$6,'Rebate Reference Table'!$E$5:$M$78,3,FALSE), VLOOKUP(E70&amp;G70&amp;$H$6,'Rebate Reference Table'!$F$5:$K$78,6,FALSE))</f>
        <v>5</v>
      </c>
      <c r="J70" s="126">
        <v>3</v>
      </c>
      <c r="K70" s="126">
        <v>5.76</v>
      </c>
      <c r="L70" s="118" t="s">
        <v>223</v>
      </c>
      <c r="M70" s="111"/>
      <c r="N70" s="119" t="str">
        <f>IFERROR((H70*80)/(M70*43.56),"")</f>
        <v/>
      </c>
      <c r="O70" s="120">
        <f>H70*I70</f>
        <v>0</v>
      </c>
    </row>
    <row r="71" spans="1:15" ht="24" customHeight="1" x14ac:dyDescent="0.3">
      <c r="A71" s="102">
        <v>10726861</v>
      </c>
      <c r="B71" s="103" t="s">
        <v>51</v>
      </c>
      <c r="C71" s="104"/>
      <c r="D71" s="194"/>
      <c r="E71" s="157" t="s">
        <v>201</v>
      </c>
      <c r="F71" s="107"/>
      <c r="G71" s="107" t="s">
        <v>110</v>
      </c>
      <c r="H71" s="108"/>
      <c r="I71" s="122">
        <f>IF($H$6="Period 1", VLOOKUP(E71&amp;G71&amp;$H$6,'Rebate Reference Table'!$E$5:$M$78,3,FALSE), VLOOKUP(E71&amp;G71&amp;$H$6,'Rebate Reference Table'!$F$5:$K$78,6,FALSE))</f>
        <v>20</v>
      </c>
      <c r="J71" s="123">
        <v>5.5</v>
      </c>
      <c r="K71" s="123">
        <v>7</v>
      </c>
      <c r="L71" s="192" t="s">
        <v>179</v>
      </c>
      <c r="M71" s="111"/>
      <c r="N71" s="193" t="str">
        <f>IFERROR(H71*1600/M71,"")</f>
        <v/>
      </c>
      <c r="O71" s="113">
        <f t="shared" ref="O71:O72" si="12">H71*I71</f>
        <v>0</v>
      </c>
    </row>
    <row r="72" spans="1:15" ht="24" customHeight="1" x14ac:dyDescent="0.3">
      <c r="A72" s="102"/>
      <c r="B72" s="103"/>
      <c r="C72" s="104"/>
      <c r="D72" s="195"/>
      <c r="E72" s="157" t="s">
        <v>202</v>
      </c>
      <c r="F72" s="107"/>
      <c r="G72" s="107" t="s">
        <v>110</v>
      </c>
      <c r="H72" s="108"/>
      <c r="I72" s="122">
        <f>IF($H$6="Period 1", VLOOKUP(E72&amp;G72&amp;$H$6,'Rebate Reference Table'!$E$5:$M$78,3,FALSE), VLOOKUP(E72&amp;G72&amp;$H$6,'Rebate Reference Table'!$F$5:$K$78,6,FALSE))</f>
        <v>30</v>
      </c>
      <c r="J72" s="123">
        <v>5.5</v>
      </c>
      <c r="K72" s="123">
        <v>7</v>
      </c>
      <c r="L72" s="192" t="s">
        <v>179</v>
      </c>
      <c r="M72" s="111"/>
      <c r="N72" s="193" t="str">
        <f>IFERROR(H72*1600/M72,"")</f>
        <v/>
      </c>
      <c r="O72" s="113">
        <f t="shared" si="12"/>
        <v>0</v>
      </c>
    </row>
    <row r="73" spans="1:15" ht="24" customHeight="1" x14ac:dyDescent="0.3">
      <c r="A73" s="102">
        <v>10492051</v>
      </c>
      <c r="B73" s="103" t="s">
        <v>52</v>
      </c>
      <c r="C73" s="104"/>
      <c r="D73" s="125"/>
      <c r="E73" s="115" t="s">
        <v>69</v>
      </c>
      <c r="F73" s="114"/>
      <c r="G73" s="114" t="s">
        <v>116</v>
      </c>
      <c r="H73" s="108"/>
      <c r="I73" s="116">
        <f>IF($H$6="Period 1", VLOOKUP(E73&amp;G73&amp;$H$6,'Rebate Reference Table'!$E$5:$M$78,3,FALSE), VLOOKUP(E73&amp;G73&amp;$H$6,'Rebate Reference Table'!$F$5:$K$78,6,FALSE))</f>
        <v>8</v>
      </c>
      <c r="J73" s="126">
        <v>0.6</v>
      </c>
      <c r="K73" s="126">
        <v>1.1000000000000001</v>
      </c>
      <c r="L73" s="118" t="s">
        <v>221</v>
      </c>
      <c r="M73" s="111"/>
      <c r="N73" s="119" t="str">
        <f>IFERROR((H73*128)/(M73*43.56),"")</f>
        <v/>
      </c>
      <c r="O73" s="120">
        <f>H73*I73</f>
        <v>0</v>
      </c>
    </row>
    <row r="74" spans="1:15" ht="24" customHeight="1" x14ac:dyDescent="0.3">
      <c r="A74" s="149">
        <v>10600045</v>
      </c>
      <c r="B74" s="150" t="s">
        <v>53</v>
      </c>
      <c r="C74" s="129"/>
      <c r="D74" s="105"/>
      <c r="E74" s="121" t="s">
        <v>91</v>
      </c>
      <c r="F74" s="107"/>
      <c r="G74" s="107" t="s">
        <v>135</v>
      </c>
      <c r="H74" s="108"/>
      <c r="I74" s="122">
        <f>IF($H$6="Period 1", VLOOKUP(E74&amp;G74&amp;$H$6,'Rebate Reference Table'!$E$5:$M$78,3,FALSE), VLOOKUP(E74&amp;G74&amp;$H$6,'Rebate Reference Table'!$F$5:$K$78,6,FALSE))</f>
        <v>275</v>
      </c>
      <c r="J74" s="153">
        <v>0.18</v>
      </c>
      <c r="K74" s="153">
        <v>0.37</v>
      </c>
      <c r="L74" s="110" t="s">
        <v>223</v>
      </c>
      <c r="M74" s="111"/>
      <c r="N74" s="124" t="str">
        <f>IFERROR((H74*80)/(M74*43.56),"")</f>
        <v/>
      </c>
      <c r="O74" s="113">
        <f>H74*I74</f>
        <v>0</v>
      </c>
    </row>
    <row r="75" spans="1:15" ht="24" customHeight="1" x14ac:dyDescent="0.3">
      <c r="A75" s="132">
        <v>10723225</v>
      </c>
      <c r="B75" s="133" t="s">
        <v>153</v>
      </c>
      <c r="C75" s="129"/>
      <c r="D75" s="212"/>
      <c r="E75" s="115" t="s">
        <v>166</v>
      </c>
      <c r="F75" s="131"/>
      <c r="G75" s="114" t="s">
        <v>101</v>
      </c>
      <c r="H75" s="108"/>
      <c r="I75" s="116">
        <f>IF($H$6="Period 1", VLOOKUP(E75&amp;G75&amp;$H$6,'Rebate Reference Table'!$E$5:$M$78,3,FALSE), VLOOKUP(E75&amp;G75&amp;$H$6,'Rebate Reference Table'!$F$5:$K$78,6,FALSE))</f>
        <v>20</v>
      </c>
      <c r="J75" s="126">
        <v>1.3</v>
      </c>
      <c r="K75" s="126">
        <v>1.3</v>
      </c>
      <c r="L75" s="118" t="s">
        <v>221</v>
      </c>
      <c r="M75" s="111"/>
      <c r="N75" s="130" t="str">
        <f>IFERROR((H75*320)/(M75*43.56),"")</f>
        <v/>
      </c>
      <c r="O75" s="120">
        <f t="shared" ref="O75:O76" si="13">H75*I75</f>
        <v>0</v>
      </c>
    </row>
    <row r="76" spans="1:15" ht="24" customHeight="1" x14ac:dyDescent="0.3">
      <c r="A76" s="132">
        <v>10723225</v>
      </c>
      <c r="B76" s="133" t="s">
        <v>154</v>
      </c>
      <c r="C76" s="129"/>
      <c r="D76" s="214"/>
      <c r="E76" s="115" t="s">
        <v>167</v>
      </c>
      <c r="F76" s="131"/>
      <c r="G76" s="114" t="s">
        <v>101</v>
      </c>
      <c r="H76" s="108"/>
      <c r="I76" s="116">
        <f>IF($H$6="Period 1", VLOOKUP(E76&amp;G76&amp;$H$6,'Rebate Reference Table'!$E$5:$M$78,3,FALSE), VLOOKUP(E76&amp;G76&amp;$H$6,'Rebate Reference Table'!$F$5:$K$78,6,FALSE))</f>
        <v>55</v>
      </c>
      <c r="J76" s="126">
        <v>1.3</v>
      </c>
      <c r="K76" s="126">
        <v>1.3</v>
      </c>
      <c r="L76" s="118" t="s">
        <v>221</v>
      </c>
      <c r="M76" s="111"/>
      <c r="N76" s="130" t="str">
        <f>IFERROR((H76*320)/(M76*43.56),"")</f>
        <v/>
      </c>
      <c r="O76" s="120">
        <f t="shared" si="13"/>
        <v>0</v>
      </c>
    </row>
    <row r="77" spans="1:15" s="89" customFormat="1" ht="16.2" thickBot="1" x14ac:dyDescent="0.35">
      <c r="A77" s="102"/>
      <c r="B77" s="91" t="s">
        <v>54</v>
      </c>
      <c r="C77" s="92"/>
      <c r="D77" s="135"/>
      <c r="E77" s="136" t="s">
        <v>54</v>
      </c>
      <c r="F77" s="137"/>
      <c r="G77" s="138"/>
      <c r="H77" s="139"/>
      <c r="I77" s="140"/>
      <c r="J77" s="141"/>
      <c r="K77" s="141"/>
      <c r="L77" s="141"/>
      <c r="M77" s="142"/>
      <c r="N77" s="143"/>
      <c r="O77" s="144"/>
    </row>
    <row r="78" spans="1:15" ht="24" customHeight="1" x14ac:dyDescent="0.3">
      <c r="A78" s="102">
        <v>10571443</v>
      </c>
      <c r="B78" s="133" t="s">
        <v>149</v>
      </c>
      <c r="C78" s="129"/>
      <c r="D78" s="223"/>
      <c r="E78" s="106" t="s">
        <v>168</v>
      </c>
      <c r="F78" s="107" t="s">
        <v>126</v>
      </c>
      <c r="G78" s="105" t="s">
        <v>121</v>
      </c>
      <c r="H78" s="108"/>
      <c r="I78" s="109">
        <f>IF($H$6="Period 1", VLOOKUP(E78&amp;G78&amp;$H$6,'Rebate Reference Table'!$E$5:$M$78,3,FALSE), VLOOKUP(E78&amp;G78&amp;$H$6,'Rebate Reference Table'!$F$5:$K$78,6,FALSE))</f>
        <v>8</v>
      </c>
      <c r="J78" s="158">
        <v>2</v>
      </c>
      <c r="K78" s="240" t="s">
        <v>225</v>
      </c>
      <c r="L78" s="110" t="s">
        <v>178</v>
      </c>
      <c r="M78" s="111"/>
      <c r="N78" s="112" t="str">
        <f>IFERROR(H78*24/M78,"")</f>
        <v/>
      </c>
      <c r="O78" s="113">
        <f t="shared" ref="O78:O79" si="14">H78*I78</f>
        <v>0</v>
      </c>
    </row>
    <row r="79" spans="1:15" ht="24" customHeight="1" x14ac:dyDescent="0.3">
      <c r="A79" s="102">
        <v>10571443</v>
      </c>
      <c r="B79" s="133" t="s">
        <v>150</v>
      </c>
      <c r="C79" s="104"/>
      <c r="D79" s="195"/>
      <c r="E79" s="121" t="s">
        <v>169</v>
      </c>
      <c r="F79" s="107" t="s">
        <v>126</v>
      </c>
      <c r="G79" s="107" t="s">
        <v>121</v>
      </c>
      <c r="H79" s="108"/>
      <c r="I79" s="122">
        <f>IF($H$6="Period 1", VLOOKUP(E79&amp;G79&amp;$H$6,'Rebate Reference Table'!$E$5:$M$78,3,FALSE), VLOOKUP(E79&amp;G79&amp;$H$6,'Rebate Reference Table'!$F$5:$K$78,6,FALSE))</f>
        <v>21</v>
      </c>
      <c r="J79" s="158">
        <v>2</v>
      </c>
      <c r="K79" s="241"/>
      <c r="L79" s="110" t="s">
        <v>178</v>
      </c>
      <c r="M79" s="111"/>
      <c r="N79" s="112" t="str">
        <f>IFERROR(H79*24/M79,"")</f>
        <v/>
      </c>
      <c r="O79" s="113">
        <f t="shared" si="14"/>
        <v>0</v>
      </c>
    </row>
    <row r="80" spans="1:15" ht="24" customHeight="1" x14ac:dyDescent="0.3">
      <c r="A80" s="102">
        <v>10590414</v>
      </c>
      <c r="B80" s="103" t="s">
        <v>55</v>
      </c>
      <c r="C80" s="104"/>
      <c r="D80" s="114"/>
      <c r="E80" s="115" t="s">
        <v>84</v>
      </c>
      <c r="F80" s="114"/>
      <c r="G80" s="114" t="s">
        <v>122</v>
      </c>
      <c r="H80" s="108"/>
      <c r="I80" s="116">
        <f>IF($H$6="Period 1", VLOOKUP(E80&amp;G80&amp;$H$6,'Rebate Reference Table'!$E$5:$M$78,3,FALSE), VLOOKUP(E80&amp;G80&amp;$H$6,'Rebate Reference Table'!$F$5:$K$78,6,FALSE))</f>
        <v>8</v>
      </c>
      <c r="J80" s="159" t="s">
        <v>185</v>
      </c>
      <c r="K80" s="159" t="s">
        <v>185</v>
      </c>
      <c r="L80" s="160" t="s">
        <v>181</v>
      </c>
      <c r="M80" s="111"/>
      <c r="N80" s="161"/>
      <c r="O80" s="120">
        <f>H80*I80</f>
        <v>0</v>
      </c>
    </row>
    <row r="81" spans="1:15" ht="24" customHeight="1" x14ac:dyDescent="0.25">
      <c r="A81" s="102">
        <v>10596041</v>
      </c>
      <c r="B81" s="103" t="s">
        <v>56</v>
      </c>
      <c r="C81" s="104"/>
      <c r="D81" s="194"/>
      <c r="E81" s="198" t="s">
        <v>88</v>
      </c>
      <c r="F81" s="194"/>
      <c r="G81" s="107" t="s">
        <v>116</v>
      </c>
      <c r="H81" s="108"/>
      <c r="I81" s="122">
        <f>IF($H$6="Period 1", VLOOKUP(E81&amp;G81&amp;$H$6,'Rebate Reference Table'!$E$5:$M$78,3,FALSE), VLOOKUP(E81&amp;G81&amp;$H$6,'Rebate Reference Table'!$F$5:$K$78,6,FALSE))</f>
        <v>10</v>
      </c>
      <c r="J81" s="134" t="s">
        <v>185</v>
      </c>
      <c r="K81" s="134" t="s">
        <v>185</v>
      </c>
      <c r="L81" s="162" t="s">
        <v>181</v>
      </c>
      <c r="M81" s="111"/>
      <c r="N81" s="163"/>
      <c r="O81" s="113">
        <f t="shared" ref="O81:O82" si="15">H81*I81</f>
        <v>0</v>
      </c>
    </row>
    <row r="82" spans="1:15" ht="24" customHeight="1" x14ac:dyDescent="0.25">
      <c r="A82" s="102">
        <v>10596515</v>
      </c>
      <c r="B82" s="103" t="s">
        <v>57</v>
      </c>
      <c r="C82" s="104"/>
      <c r="D82" s="195"/>
      <c r="E82" s="200"/>
      <c r="F82" s="195"/>
      <c r="G82" s="107" t="s">
        <v>123</v>
      </c>
      <c r="H82" s="108"/>
      <c r="I82" s="122">
        <f>IF($H$6="Period 1", VLOOKUP(E81&amp;G82&amp;$H$6,'Rebate Reference Table'!$E$5:$M$78,3,FALSE), VLOOKUP(E81&amp;G82&amp;$H$6,'Rebate Reference Table'!$F$5:$K$78,6,FALSE))</f>
        <v>150</v>
      </c>
      <c r="J82" s="134" t="s">
        <v>185</v>
      </c>
      <c r="K82" s="134" t="s">
        <v>185</v>
      </c>
      <c r="L82" s="162" t="s">
        <v>181</v>
      </c>
      <c r="M82" s="111"/>
      <c r="N82" s="163"/>
      <c r="O82" s="113">
        <f t="shared" si="15"/>
        <v>0</v>
      </c>
    </row>
    <row r="83" spans="1:15" x14ac:dyDescent="0.25">
      <c r="D83" s="77"/>
      <c r="J83" s="164"/>
      <c r="K83" s="164"/>
      <c r="L83" s="164"/>
    </row>
    <row r="84" spans="1:15" ht="17.399999999999999" x14ac:dyDescent="0.3">
      <c r="D84" s="165" t="s">
        <v>195</v>
      </c>
      <c r="J84" s="164"/>
      <c r="K84" s="164"/>
      <c r="L84" s="164"/>
    </row>
    <row r="85" spans="1:15" ht="13.8" x14ac:dyDescent="0.25">
      <c r="D85" s="166" t="s">
        <v>199</v>
      </c>
      <c r="J85" s="164"/>
      <c r="K85" s="164"/>
      <c r="L85" s="164"/>
    </row>
    <row r="86" spans="1:15" ht="15" customHeight="1" x14ac:dyDescent="0.25">
      <c r="D86" s="166" t="s">
        <v>200</v>
      </c>
    </row>
    <row r="87" spans="1:15" ht="81" customHeight="1" x14ac:dyDescent="0.25">
      <c r="D87" s="218" t="s">
        <v>194</v>
      </c>
      <c r="E87" s="218"/>
      <c r="F87" s="218"/>
      <c r="G87" s="218"/>
      <c r="N87" s="75"/>
    </row>
    <row r="90" spans="1:15" x14ac:dyDescent="0.25">
      <c r="A90" s="167"/>
      <c r="B90" s="167"/>
      <c r="C90" s="167"/>
      <c r="D90" s="167"/>
      <c r="E90" s="168"/>
      <c r="F90" s="168"/>
      <c r="G90" s="168"/>
    </row>
  </sheetData>
  <sheetProtection algorithmName="SHA-512" hashValue="010EiAaBW8aGPxiOXScQy2Az+B0ZDOiZ1Dy3cTt2F8Rmp7j+AlVRgDhrlW1JiZU5gxD0uvr6wqGX5rMXqxpYdQ==" saltValue="ERVZxs9WeKFo+bHo24Tjew==" spinCount="100000" sheet="1" objects="1" scenarios="1"/>
  <mergeCells count="50">
    <mergeCell ref="K78:K79"/>
    <mergeCell ref="D71:D72"/>
    <mergeCell ref="F57:F58"/>
    <mergeCell ref="F50:F51"/>
    <mergeCell ref="F53:F54"/>
    <mergeCell ref="F68:F69"/>
    <mergeCell ref="D78:D79"/>
    <mergeCell ref="H1:M1"/>
    <mergeCell ref="E23:E24"/>
    <mergeCell ref="D23:D24"/>
    <mergeCell ref="F23:F24"/>
    <mergeCell ref="E25:E26"/>
    <mergeCell ref="D25:D26"/>
    <mergeCell ref="F25:F26"/>
    <mergeCell ref="D18:D19"/>
    <mergeCell ref="E15:E17"/>
    <mergeCell ref="F15:F17"/>
    <mergeCell ref="D15:D17"/>
    <mergeCell ref="E18:E19"/>
    <mergeCell ref="D3:E3"/>
    <mergeCell ref="D20:D22"/>
    <mergeCell ref="F20:F22"/>
    <mergeCell ref="D87:G87"/>
    <mergeCell ref="E35:E36"/>
    <mergeCell ref="D35:D36"/>
    <mergeCell ref="F35:F36"/>
    <mergeCell ref="E50:E51"/>
    <mergeCell ref="D50:D51"/>
    <mergeCell ref="E57:E58"/>
    <mergeCell ref="D57:D58"/>
    <mergeCell ref="F81:F82"/>
    <mergeCell ref="E81:E82"/>
    <mergeCell ref="D81:D82"/>
    <mergeCell ref="D38:D39"/>
    <mergeCell ref="E53:E54"/>
    <mergeCell ref="D53:D54"/>
    <mergeCell ref="D68:D69"/>
    <mergeCell ref="D75:D76"/>
    <mergeCell ref="D41:D42"/>
    <mergeCell ref="D63:D64"/>
    <mergeCell ref="F18:F19"/>
    <mergeCell ref="E20:E22"/>
    <mergeCell ref="M2:O2"/>
    <mergeCell ref="M3:O3"/>
    <mergeCell ref="F27:F29"/>
    <mergeCell ref="E33:E34"/>
    <mergeCell ref="F33:F34"/>
    <mergeCell ref="D33:D34"/>
    <mergeCell ref="D27:D29"/>
    <mergeCell ref="D30:D32"/>
  </mergeCells>
  <phoneticPr fontId="6" type="noConversion"/>
  <dataValidations count="7">
    <dataValidation type="whole" allowBlank="1" showInputMessage="1" showErrorMessage="1" error="Must be 1 - 7 units" sqref="H41 H68 H71 H38 H31" xr:uid="{E28CBAC7-DC59-470C-922C-D8CEC3D19E16}">
      <formula1>1</formula1>
      <formula2>7</formula2>
    </dataValidation>
    <dataValidation type="whole" allowBlank="1" showInputMessage="1" showErrorMessage="1" error="Must be 1 - 31 units" sqref="H78" xr:uid="{B1CFA4D0-4DCE-4859-A190-E842171ABF1A}">
      <formula1>1</formula1>
      <formula2>31</formula2>
    </dataValidation>
    <dataValidation type="list" allowBlank="1" showInputMessage="1" showErrorMessage="1" sqref="H6" xr:uid="{87243878-0080-4F23-99B0-63AF3AEDCDB9}">
      <formula1>$A$5:$A$6</formula1>
    </dataValidation>
    <dataValidation type="whole" operator="greaterThanOrEqual" allowBlank="1" showInputMessage="1" showErrorMessage="1" error="Must be 32 or more units" sqref="H79" xr:uid="{410C2827-E483-4E77-91D1-11485466A766}">
      <formula1>32</formula1>
    </dataValidation>
    <dataValidation type="whole" allowBlank="1" showInputMessage="1" showErrorMessage="1" error="Must be 1 - 5 units" sqref="H75 H63 H27" xr:uid="{12F47B27-43B0-49E1-B5BD-C1BB0F20C801}">
      <formula1>1</formula1>
      <formula2>5</formula2>
    </dataValidation>
    <dataValidation type="whole" operator="greaterThanOrEqual" allowBlank="1" showInputMessage="1" showErrorMessage="1" error="Must be 6 or more units" sqref="H76 H64 H28" xr:uid="{44760C71-73D1-447E-A209-283E31C7262B}">
      <formula1>6</formula1>
    </dataValidation>
    <dataValidation type="whole" operator="greaterThanOrEqual" allowBlank="1" showInputMessage="1" showErrorMessage="1" error="Must be 8 or more units" sqref="H69 H39 H42 H32 H72" xr:uid="{F32B8169-326D-4F6D-9E1C-F26EFCC95272}">
      <formula1>8</formula1>
    </dataValidation>
  </dataValidations>
  <hyperlinks>
    <hyperlink ref="F3" r:id="rId1" xr:uid="{8466AE34-94F8-440B-8C53-CCCF3CC9F443}"/>
  </hyperlinks>
  <pageMargins left="0.25" right="0.25" top="0.75" bottom="0.75" header="0.3" footer="0.3"/>
  <pageSetup scale="30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F7370-EB2A-4097-BE45-186C7B1B6EC8}">
  <sheetPr codeName="Sheet2"/>
  <dimension ref="A1:M84"/>
  <sheetViews>
    <sheetView zoomScale="70" zoomScaleNormal="70" workbookViewId="0">
      <pane ySplit="3" topLeftCell="A16" activePane="bottomLeft" state="frozen"/>
      <selection pane="bottomLeft" activeCell="B49" sqref="B49"/>
    </sheetView>
  </sheetViews>
  <sheetFormatPr defaultRowHeight="12.6" x14ac:dyDescent="0.2"/>
  <cols>
    <col min="1" max="1" width="8.6328125" customWidth="1"/>
    <col min="2" max="2" width="42.90625" customWidth="1"/>
    <col min="3" max="3" width="30.26953125" style="22" customWidth="1"/>
    <col min="4" max="4" width="16" style="22" customWidth="1"/>
    <col min="5" max="6" width="44.36328125" style="22" customWidth="1"/>
    <col min="7" max="7" width="13.90625" style="11" customWidth="1"/>
    <col min="8" max="8" width="27" style="11" customWidth="1"/>
    <col min="9" max="9" width="12.7265625" style="9" customWidth="1"/>
    <col min="10" max="10" width="14.08984375" style="5" customWidth="1"/>
    <col min="11" max="11" width="12.453125" style="11" customWidth="1"/>
    <col min="12" max="12" width="10.08984375" customWidth="1"/>
    <col min="13" max="13" width="9" bestFit="1" customWidth="1"/>
  </cols>
  <sheetData>
    <row r="1" spans="1:13" ht="24.75" customHeight="1" x14ac:dyDescent="0.2">
      <c r="A1" t="s">
        <v>137</v>
      </c>
      <c r="B1" s="31"/>
      <c r="C1" s="32"/>
    </row>
    <row r="2" spans="1:13" x14ac:dyDescent="0.2">
      <c r="A2" t="s">
        <v>138</v>
      </c>
    </row>
    <row r="3" spans="1:13" s="2" customFormat="1" ht="25.2" x14ac:dyDescent="0.2">
      <c r="A3" s="12" t="s">
        <v>59</v>
      </c>
      <c r="B3" s="12" t="s">
        <v>1</v>
      </c>
      <c r="C3" s="12" t="s">
        <v>99</v>
      </c>
      <c r="D3" s="12" t="s">
        <v>61</v>
      </c>
      <c r="E3" s="12"/>
      <c r="F3" s="12"/>
      <c r="G3" s="13" t="s">
        <v>103</v>
      </c>
      <c r="H3" s="13" t="s">
        <v>104</v>
      </c>
      <c r="I3" s="14" t="s">
        <v>136</v>
      </c>
      <c r="J3" s="13" t="s">
        <v>2</v>
      </c>
      <c r="K3" s="13" t="s">
        <v>105</v>
      </c>
      <c r="L3" s="14" t="s">
        <v>100</v>
      </c>
      <c r="M3" s="13" t="s">
        <v>2</v>
      </c>
    </row>
    <row r="4" spans="1:13" s="2" customFormat="1" x14ac:dyDescent="0.2">
      <c r="A4" s="21"/>
      <c r="B4" s="1" t="s">
        <v>0</v>
      </c>
      <c r="C4" s="23" t="s">
        <v>0</v>
      </c>
      <c r="D4" s="27"/>
      <c r="E4" s="27"/>
      <c r="F4" s="27"/>
      <c r="G4" s="19"/>
      <c r="H4" s="19"/>
      <c r="I4" s="20"/>
      <c r="J4" s="19"/>
      <c r="K4" s="19"/>
      <c r="L4" s="20"/>
      <c r="M4" s="19"/>
    </row>
    <row r="5" spans="1:13" x14ac:dyDescent="0.2">
      <c r="A5" s="18">
        <v>10010225</v>
      </c>
      <c r="B5" s="3" t="s">
        <v>3</v>
      </c>
      <c r="C5" s="24" t="s">
        <v>60</v>
      </c>
      <c r="D5" s="24" t="s">
        <v>101</v>
      </c>
      <c r="E5" s="24" t="str">
        <f>CONCATENATE(C5,D5,$A$1)</f>
        <v>4-SPEED XT2.5 gal. bottlePeriod 1</v>
      </c>
      <c r="F5" s="24" t="str">
        <f>CONCATENATE(C5,D5,$A$2)</f>
        <v>4-SPEED XT2.5 gal. bottlePeriod 2</v>
      </c>
      <c r="G5" s="28">
        <v>25</v>
      </c>
      <c r="H5" s="8">
        <v>0</v>
      </c>
      <c r="I5" s="8">
        <v>0</v>
      </c>
      <c r="J5" s="4">
        <f t="shared" ref="J5:J32" si="0">G5*I5</f>
        <v>0</v>
      </c>
      <c r="K5" s="28">
        <v>10</v>
      </c>
      <c r="L5" s="8">
        <v>0</v>
      </c>
      <c r="M5" s="4">
        <f t="shared" ref="M5:M32" si="1">K5*L5</f>
        <v>0</v>
      </c>
    </row>
    <row r="6" spans="1:13" x14ac:dyDescent="0.2">
      <c r="A6" s="18">
        <v>10583050</v>
      </c>
      <c r="B6" s="3" t="s">
        <v>4</v>
      </c>
      <c r="C6" s="24" t="s">
        <v>81</v>
      </c>
      <c r="D6" s="24" t="s">
        <v>102</v>
      </c>
      <c r="E6" s="24" t="str">
        <f t="shared" ref="E6:E78" si="2">CONCATENATE(C6,D6,$A$1)</f>
        <v>BROADSTAR50 lb. bagPeriod 1</v>
      </c>
      <c r="F6" s="24" t="str">
        <f t="shared" ref="F6:F78" si="3">CONCATENATE(C6,D6,$A$2)</f>
        <v>BROADSTAR50 lb. bagPeriod 2</v>
      </c>
      <c r="G6" s="28">
        <v>5</v>
      </c>
      <c r="H6" s="8">
        <v>0</v>
      </c>
      <c r="I6" s="8">
        <v>0</v>
      </c>
      <c r="J6" s="4">
        <f t="shared" si="0"/>
        <v>0</v>
      </c>
      <c r="K6" s="28">
        <v>2.5</v>
      </c>
      <c r="L6" s="8">
        <v>0</v>
      </c>
      <c r="M6" s="4">
        <f t="shared" si="1"/>
        <v>0</v>
      </c>
    </row>
    <row r="7" spans="1:13" x14ac:dyDescent="0.2">
      <c r="A7" s="18">
        <v>10701401</v>
      </c>
      <c r="B7" s="3" t="s">
        <v>5</v>
      </c>
      <c r="C7" s="24" t="s">
        <v>96</v>
      </c>
      <c r="D7" s="24" t="s">
        <v>131</v>
      </c>
      <c r="E7" s="24" t="str">
        <f t="shared" si="2"/>
        <v>CELERO1 lb. bottlePeriod 1</v>
      </c>
      <c r="F7" s="24" t="str">
        <f t="shared" si="3"/>
        <v>CELERO1 lb. bottlePeriod 2</v>
      </c>
      <c r="G7" s="28">
        <v>8</v>
      </c>
      <c r="H7" s="8">
        <v>0</v>
      </c>
      <c r="I7" s="8">
        <v>0</v>
      </c>
      <c r="J7" s="4">
        <f t="shared" si="0"/>
        <v>0</v>
      </c>
      <c r="K7" s="28">
        <v>2</v>
      </c>
      <c r="L7" s="8">
        <v>0</v>
      </c>
      <c r="M7" s="4">
        <f t="shared" si="1"/>
        <v>0</v>
      </c>
    </row>
    <row r="8" spans="1:13" x14ac:dyDescent="0.2">
      <c r="A8" s="18">
        <v>10699170</v>
      </c>
      <c r="B8" s="3" t="s">
        <v>6</v>
      </c>
      <c r="C8" s="24" t="s">
        <v>95</v>
      </c>
      <c r="D8" s="24" t="s">
        <v>132</v>
      </c>
      <c r="E8" s="24" t="str">
        <f t="shared" si="2"/>
        <v>CERTAINTY1.25 wt oz. bottlePeriod 1</v>
      </c>
      <c r="F8" s="24" t="str">
        <f t="shared" si="3"/>
        <v>CERTAINTY1.25 wt oz. bottlePeriod 2</v>
      </c>
      <c r="G8" s="28">
        <v>3</v>
      </c>
      <c r="H8" s="8">
        <v>0</v>
      </c>
      <c r="I8" s="8">
        <v>0</v>
      </c>
      <c r="J8" s="4">
        <f t="shared" si="0"/>
        <v>0</v>
      </c>
      <c r="K8" s="28">
        <v>1.5</v>
      </c>
      <c r="L8" s="8">
        <v>0</v>
      </c>
      <c r="M8" s="4">
        <f t="shared" si="1"/>
        <v>0</v>
      </c>
    </row>
    <row r="9" spans="1:13" x14ac:dyDescent="0.2">
      <c r="A9" s="18">
        <v>10555225</v>
      </c>
      <c r="B9" s="3" t="s">
        <v>7</v>
      </c>
      <c r="C9" s="24" t="s">
        <v>76</v>
      </c>
      <c r="D9" s="24" t="s">
        <v>101</v>
      </c>
      <c r="E9" s="24" t="str">
        <f t="shared" si="2"/>
        <v>CHANGE UP2.5 gal. bottlePeriod 1</v>
      </c>
      <c r="F9" s="24" t="str">
        <f t="shared" si="3"/>
        <v>CHANGE UP2.5 gal. bottlePeriod 2</v>
      </c>
      <c r="G9" s="28">
        <v>10</v>
      </c>
      <c r="H9" s="8">
        <v>0</v>
      </c>
      <c r="I9" s="8">
        <v>0</v>
      </c>
      <c r="J9" s="4">
        <f t="shared" si="0"/>
        <v>0</v>
      </c>
      <c r="K9" s="28">
        <v>5</v>
      </c>
      <c r="L9" s="8">
        <v>0</v>
      </c>
      <c r="M9" s="4">
        <f t="shared" si="1"/>
        <v>0</v>
      </c>
    </row>
    <row r="10" spans="1:13" x14ac:dyDescent="0.2">
      <c r="A10" s="18">
        <v>10555030</v>
      </c>
      <c r="B10" s="3" t="s">
        <v>8</v>
      </c>
      <c r="C10" s="24" t="s">
        <v>76</v>
      </c>
      <c r="D10" s="24" t="s">
        <v>107</v>
      </c>
      <c r="E10" s="24" t="str">
        <f t="shared" si="2"/>
        <v>CHANGE UP30 gal. drumPeriod 1</v>
      </c>
      <c r="F10" s="24" t="str">
        <f t="shared" si="3"/>
        <v>CHANGE UP30 gal. drumPeriod 2</v>
      </c>
      <c r="G10" s="28">
        <v>120</v>
      </c>
      <c r="H10" s="8">
        <v>0</v>
      </c>
      <c r="I10" s="8">
        <v>0</v>
      </c>
      <c r="J10" s="4">
        <f t="shared" si="0"/>
        <v>0</v>
      </c>
      <c r="K10" s="28">
        <v>60</v>
      </c>
      <c r="L10" s="8">
        <v>0</v>
      </c>
      <c r="M10" s="4">
        <f t="shared" si="1"/>
        <v>0</v>
      </c>
    </row>
    <row r="11" spans="1:13" x14ac:dyDescent="0.2">
      <c r="A11" s="18">
        <v>10555250</v>
      </c>
      <c r="B11" s="30" t="s">
        <v>130</v>
      </c>
      <c r="C11" s="24" t="s">
        <v>76</v>
      </c>
      <c r="D11" s="24" t="s">
        <v>108</v>
      </c>
      <c r="E11" s="24" t="str">
        <f t="shared" si="2"/>
        <v>CHANGE UP250 gal. totePeriod 1</v>
      </c>
      <c r="F11" s="24" t="str">
        <f t="shared" si="3"/>
        <v>CHANGE UP250 gal. totePeriod 2</v>
      </c>
      <c r="G11" s="28">
        <v>1000</v>
      </c>
      <c r="H11" s="8">
        <v>0</v>
      </c>
      <c r="I11" s="8">
        <v>0</v>
      </c>
      <c r="J11" s="4">
        <f t="shared" si="0"/>
        <v>0</v>
      </c>
      <c r="K11" s="28">
        <v>500</v>
      </c>
      <c r="L11" s="8">
        <v>0</v>
      </c>
      <c r="M11" s="4">
        <f t="shared" si="1"/>
        <v>0</v>
      </c>
    </row>
    <row r="12" spans="1:13" x14ac:dyDescent="0.2">
      <c r="A12" s="18">
        <v>10070225</v>
      </c>
      <c r="B12" s="3" t="s">
        <v>9</v>
      </c>
      <c r="C12" s="24" t="s">
        <v>62</v>
      </c>
      <c r="D12" s="24" t="s">
        <v>101</v>
      </c>
      <c r="E12" s="24" t="str">
        <f t="shared" si="2"/>
        <v>COOL POWER2.5 gal. bottlePeriod 1</v>
      </c>
      <c r="F12" s="24" t="str">
        <f t="shared" si="3"/>
        <v>COOL POWER2.5 gal. bottlePeriod 2</v>
      </c>
      <c r="G12" s="28">
        <v>15</v>
      </c>
      <c r="H12" s="8">
        <v>0</v>
      </c>
      <c r="I12" s="8">
        <v>0</v>
      </c>
      <c r="J12" s="4">
        <f t="shared" si="0"/>
        <v>0</v>
      </c>
      <c r="K12" s="28">
        <v>5</v>
      </c>
      <c r="L12" s="8">
        <v>0</v>
      </c>
      <c r="M12" s="4">
        <f t="shared" si="1"/>
        <v>0</v>
      </c>
    </row>
    <row r="13" spans="1:13" x14ac:dyDescent="0.2">
      <c r="A13" s="18">
        <v>10070030</v>
      </c>
      <c r="B13" s="3" t="s">
        <v>10</v>
      </c>
      <c r="C13" s="24" t="s">
        <v>62</v>
      </c>
      <c r="D13" s="24" t="s">
        <v>107</v>
      </c>
      <c r="E13" s="24" t="str">
        <f t="shared" si="2"/>
        <v>COOL POWER30 gal. drumPeriod 1</v>
      </c>
      <c r="F13" s="24" t="str">
        <f t="shared" si="3"/>
        <v>COOL POWER30 gal. drumPeriod 2</v>
      </c>
      <c r="G13" s="28">
        <v>180</v>
      </c>
      <c r="H13" s="8">
        <v>0</v>
      </c>
      <c r="I13" s="8"/>
      <c r="J13" s="4">
        <f t="shared" si="0"/>
        <v>0</v>
      </c>
      <c r="K13" s="28">
        <v>60</v>
      </c>
      <c r="L13" s="8">
        <v>0</v>
      </c>
      <c r="M13" s="4">
        <f t="shared" si="1"/>
        <v>0</v>
      </c>
    </row>
    <row r="14" spans="1:13" x14ac:dyDescent="0.2">
      <c r="A14" s="18">
        <v>10111225</v>
      </c>
      <c r="B14" s="3" t="s">
        <v>11</v>
      </c>
      <c r="C14" s="24" t="s">
        <v>63</v>
      </c>
      <c r="D14" s="24" t="s">
        <v>101</v>
      </c>
      <c r="E14" s="24" t="str">
        <f t="shared" si="2"/>
        <v>ESCALADE 22.5 gal. bottlePeriod 1</v>
      </c>
      <c r="F14" s="24" t="str">
        <f t="shared" si="3"/>
        <v>ESCALADE 22.5 gal. bottlePeriod 2</v>
      </c>
      <c r="G14" s="28">
        <v>15</v>
      </c>
      <c r="H14" s="8">
        <v>0</v>
      </c>
      <c r="I14" s="8">
        <v>0</v>
      </c>
      <c r="J14" s="4">
        <f t="shared" si="0"/>
        <v>0</v>
      </c>
      <c r="K14" s="28">
        <v>5</v>
      </c>
      <c r="L14" s="8">
        <v>0</v>
      </c>
      <c r="M14" s="4">
        <f t="shared" si="1"/>
        <v>0</v>
      </c>
    </row>
    <row r="15" spans="1:13" x14ac:dyDescent="0.2">
      <c r="A15" s="18">
        <v>10111030</v>
      </c>
      <c r="B15" s="3" t="s">
        <v>12</v>
      </c>
      <c r="C15" s="24" t="s">
        <v>63</v>
      </c>
      <c r="D15" s="24" t="s">
        <v>107</v>
      </c>
      <c r="E15" s="24" t="str">
        <f t="shared" si="2"/>
        <v>ESCALADE 230 gal. drumPeriod 1</v>
      </c>
      <c r="F15" s="24" t="str">
        <f t="shared" si="3"/>
        <v>ESCALADE 230 gal. drumPeriod 2</v>
      </c>
      <c r="G15" s="28">
        <v>180</v>
      </c>
      <c r="H15" s="8">
        <v>0</v>
      </c>
      <c r="I15" s="8">
        <v>0</v>
      </c>
      <c r="J15" s="4">
        <f t="shared" si="0"/>
        <v>0</v>
      </c>
      <c r="K15" s="28">
        <v>60</v>
      </c>
      <c r="L15" s="8">
        <v>0</v>
      </c>
      <c r="M15" s="4">
        <f t="shared" si="1"/>
        <v>0</v>
      </c>
    </row>
    <row r="16" spans="1:13" x14ac:dyDescent="0.2">
      <c r="A16" s="18">
        <v>10111250</v>
      </c>
      <c r="B16" s="3" t="s">
        <v>13</v>
      </c>
      <c r="C16" s="24" t="s">
        <v>63</v>
      </c>
      <c r="D16" s="24" t="s">
        <v>108</v>
      </c>
      <c r="E16" s="24" t="str">
        <f t="shared" si="2"/>
        <v>ESCALADE 2250 gal. totePeriod 1</v>
      </c>
      <c r="F16" s="24" t="str">
        <f t="shared" si="3"/>
        <v>ESCALADE 2250 gal. totePeriod 2</v>
      </c>
      <c r="G16" s="28">
        <v>1500</v>
      </c>
      <c r="H16" s="8">
        <v>0</v>
      </c>
      <c r="I16" s="8">
        <v>0</v>
      </c>
      <c r="J16" s="4">
        <f t="shared" si="0"/>
        <v>0</v>
      </c>
      <c r="K16" s="28">
        <v>500</v>
      </c>
      <c r="L16" s="8">
        <v>0</v>
      </c>
      <c r="M16" s="4">
        <f t="shared" si="1"/>
        <v>0</v>
      </c>
    </row>
    <row r="17" spans="1:13" x14ac:dyDescent="0.2">
      <c r="A17" s="18">
        <v>10139225</v>
      </c>
      <c r="B17" s="3" t="s">
        <v>14</v>
      </c>
      <c r="C17" s="24" t="s">
        <v>64</v>
      </c>
      <c r="D17" s="24" t="s">
        <v>101</v>
      </c>
      <c r="E17" s="24" t="str">
        <f t="shared" si="2"/>
        <v>HORSEPOWER2.5 gal. bottlePeriod 1</v>
      </c>
      <c r="F17" s="24" t="str">
        <f t="shared" si="3"/>
        <v>HORSEPOWER2.5 gal. bottlePeriod 2</v>
      </c>
      <c r="G17" s="28">
        <v>15</v>
      </c>
      <c r="H17" s="8">
        <v>0</v>
      </c>
      <c r="I17" s="8">
        <v>0</v>
      </c>
      <c r="J17" s="4">
        <f t="shared" si="0"/>
        <v>0</v>
      </c>
      <c r="K17" s="28">
        <v>5</v>
      </c>
      <c r="L17" s="8">
        <v>0</v>
      </c>
      <c r="M17" s="4">
        <f t="shared" si="1"/>
        <v>0</v>
      </c>
    </row>
    <row r="18" spans="1:13" x14ac:dyDescent="0.2">
      <c r="A18" s="18">
        <v>10139030</v>
      </c>
      <c r="B18" s="3" t="s">
        <v>15</v>
      </c>
      <c r="C18" s="24" t="s">
        <v>64</v>
      </c>
      <c r="D18" s="24" t="s">
        <v>107</v>
      </c>
      <c r="E18" s="24" t="str">
        <f t="shared" si="2"/>
        <v>HORSEPOWER30 gal. drumPeriod 1</v>
      </c>
      <c r="F18" s="24" t="str">
        <f t="shared" si="3"/>
        <v>HORSEPOWER30 gal. drumPeriod 2</v>
      </c>
      <c r="G18" s="28">
        <v>80</v>
      </c>
      <c r="H18" s="8">
        <v>0</v>
      </c>
      <c r="I18" s="8">
        <v>0</v>
      </c>
      <c r="J18" s="4">
        <f t="shared" si="0"/>
        <v>0</v>
      </c>
      <c r="K18" s="28">
        <v>60</v>
      </c>
      <c r="L18" s="8">
        <v>0</v>
      </c>
      <c r="M18" s="4">
        <f t="shared" si="1"/>
        <v>0</v>
      </c>
    </row>
    <row r="19" spans="1:13" x14ac:dyDescent="0.2">
      <c r="A19" s="18">
        <v>10181174</v>
      </c>
      <c r="B19" s="3" t="s">
        <v>16</v>
      </c>
      <c r="C19" s="24" t="s">
        <v>65</v>
      </c>
      <c r="D19" s="24" t="s">
        <v>133</v>
      </c>
      <c r="E19" s="24" t="str">
        <f t="shared" si="2"/>
        <v>MANOR2 wt oz. bottlePeriod 1</v>
      </c>
      <c r="F19" s="24" t="str">
        <f t="shared" si="3"/>
        <v>MANOR2 wt oz. bottlePeriod 2</v>
      </c>
      <c r="G19" s="28">
        <v>4</v>
      </c>
      <c r="H19" s="8">
        <v>0</v>
      </c>
      <c r="I19" s="8">
        <v>0</v>
      </c>
      <c r="J19" s="4">
        <f t="shared" si="0"/>
        <v>0</v>
      </c>
      <c r="K19" s="28">
        <v>2</v>
      </c>
      <c r="L19" s="8">
        <v>0</v>
      </c>
      <c r="M19" s="4">
        <f t="shared" si="1"/>
        <v>0</v>
      </c>
    </row>
    <row r="20" spans="1:13" x14ac:dyDescent="0.2">
      <c r="A20" s="18">
        <v>10181880</v>
      </c>
      <c r="B20" s="3" t="s">
        <v>17</v>
      </c>
      <c r="C20" s="24" t="s">
        <v>65</v>
      </c>
      <c r="D20" s="24" t="s">
        <v>109</v>
      </c>
      <c r="E20" s="24" t="str">
        <f t="shared" si="2"/>
        <v>MANOR8 wt oz. bottlePeriod 1</v>
      </c>
      <c r="F20" s="24" t="str">
        <f t="shared" si="3"/>
        <v>MANOR8 wt oz. bottlePeriod 2</v>
      </c>
      <c r="G20" s="28">
        <v>16</v>
      </c>
      <c r="H20" s="8">
        <v>0</v>
      </c>
      <c r="I20" s="8">
        <v>0</v>
      </c>
      <c r="J20" s="4">
        <f t="shared" si="0"/>
        <v>0</v>
      </c>
      <c r="K20" s="28">
        <v>8</v>
      </c>
      <c r="L20" s="8">
        <v>0</v>
      </c>
      <c r="M20" s="4">
        <f t="shared" si="1"/>
        <v>0</v>
      </c>
    </row>
    <row r="21" spans="1:13" x14ac:dyDescent="0.2">
      <c r="A21" s="43">
        <v>10195225</v>
      </c>
      <c r="B21" s="37" t="s">
        <v>206</v>
      </c>
      <c r="C21" s="38" t="s">
        <v>182</v>
      </c>
      <c r="D21" s="38" t="s">
        <v>101</v>
      </c>
      <c r="E21" s="38" t="str">
        <f t="shared" si="2"/>
        <v>MILLENNIUM ULTRA 2 (1 - 5 units)2.5 gal. bottlePeriod 1</v>
      </c>
      <c r="F21" s="38" t="str">
        <f t="shared" si="3"/>
        <v>MILLENNIUM ULTRA 2 (1 - 5 units)2.5 gal. bottlePeriod 2</v>
      </c>
      <c r="G21" s="39">
        <v>10</v>
      </c>
      <c r="H21" s="39">
        <v>50</v>
      </c>
      <c r="I21" s="40">
        <v>0</v>
      </c>
      <c r="J21" s="41">
        <f t="shared" si="0"/>
        <v>0</v>
      </c>
      <c r="K21" s="39">
        <v>5</v>
      </c>
      <c r="L21" s="40">
        <v>0</v>
      </c>
      <c r="M21" s="41">
        <f t="shared" si="1"/>
        <v>0</v>
      </c>
    </row>
    <row r="22" spans="1:13" x14ac:dyDescent="0.2">
      <c r="A22" s="43">
        <v>10195225</v>
      </c>
      <c r="B22" s="37" t="s">
        <v>207</v>
      </c>
      <c r="C22" s="38" t="s">
        <v>183</v>
      </c>
      <c r="D22" s="38" t="s">
        <v>101</v>
      </c>
      <c r="E22" s="38" t="str">
        <f t="shared" ref="E22" si="4">CONCATENATE(C22,D22,$A$1)</f>
        <v>MILLENNIUM ULTRA 2 (6+ units)2.5 gal. bottlePeriod 1</v>
      </c>
      <c r="F22" s="38" t="str">
        <f t="shared" ref="F22" si="5">CONCATENATE(C22,D22,$A$2)</f>
        <v>MILLENNIUM ULTRA 2 (6+ units)2.5 gal. bottlePeriod 2</v>
      </c>
      <c r="G22" s="39">
        <v>50</v>
      </c>
      <c r="H22" s="40">
        <v>0</v>
      </c>
      <c r="I22" s="40"/>
      <c r="J22" s="41"/>
      <c r="K22" s="39">
        <v>5</v>
      </c>
      <c r="L22" s="40"/>
      <c r="M22" s="41"/>
    </row>
    <row r="23" spans="1:13" x14ac:dyDescent="0.2">
      <c r="A23" s="18">
        <v>10195030</v>
      </c>
      <c r="B23" s="3" t="s">
        <v>19</v>
      </c>
      <c r="C23" s="24" t="s">
        <v>66</v>
      </c>
      <c r="D23" s="24" t="s">
        <v>107</v>
      </c>
      <c r="E23" s="24" t="str">
        <f t="shared" si="2"/>
        <v>MILLENNIUM ULTRA 230 gal. drumPeriod 1</v>
      </c>
      <c r="F23" s="24" t="str">
        <f t="shared" si="3"/>
        <v>MILLENNIUM ULTRA 230 gal. drumPeriod 2</v>
      </c>
      <c r="G23" s="28">
        <v>120</v>
      </c>
      <c r="H23" s="8">
        <v>0</v>
      </c>
      <c r="I23" s="8">
        <v>0</v>
      </c>
      <c r="J23" s="4">
        <f t="shared" si="0"/>
        <v>0</v>
      </c>
      <c r="K23" s="28">
        <v>60</v>
      </c>
      <c r="L23" s="8">
        <v>0</v>
      </c>
      <c r="M23" s="4">
        <f t="shared" si="1"/>
        <v>0</v>
      </c>
    </row>
    <row r="24" spans="1:13" x14ac:dyDescent="0.2">
      <c r="A24" s="18">
        <v>10291225</v>
      </c>
      <c r="B24" s="3" t="s">
        <v>20</v>
      </c>
      <c r="C24" s="24" t="s">
        <v>67</v>
      </c>
      <c r="D24" s="24" t="s">
        <v>101</v>
      </c>
      <c r="E24" s="24" t="str">
        <f t="shared" si="2"/>
        <v>QUINCEPT2.5 gal. bottlePeriod 1</v>
      </c>
      <c r="F24" s="24" t="str">
        <f t="shared" si="3"/>
        <v>QUINCEPT2.5 gal. bottlePeriod 2</v>
      </c>
      <c r="G24" s="28">
        <v>10</v>
      </c>
      <c r="H24" s="8">
        <v>0</v>
      </c>
      <c r="I24" s="8">
        <v>0</v>
      </c>
      <c r="J24" s="4">
        <f t="shared" si="0"/>
        <v>0</v>
      </c>
      <c r="K24" s="28">
        <v>5</v>
      </c>
      <c r="L24" s="8">
        <v>0</v>
      </c>
      <c r="M24" s="4">
        <f t="shared" si="1"/>
        <v>0</v>
      </c>
    </row>
    <row r="25" spans="1:13" x14ac:dyDescent="0.2">
      <c r="A25" s="18">
        <v>10291030</v>
      </c>
      <c r="B25" s="3" t="s">
        <v>21</v>
      </c>
      <c r="C25" s="24" t="s">
        <v>67</v>
      </c>
      <c r="D25" s="24" t="s">
        <v>107</v>
      </c>
      <c r="E25" s="24" t="str">
        <f t="shared" si="2"/>
        <v>QUINCEPT30 gal. drumPeriod 1</v>
      </c>
      <c r="F25" s="24" t="str">
        <f t="shared" si="3"/>
        <v>QUINCEPT30 gal. drumPeriod 2</v>
      </c>
      <c r="G25" s="28">
        <v>120</v>
      </c>
      <c r="H25" s="8">
        <v>0</v>
      </c>
      <c r="I25" s="8">
        <v>0</v>
      </c>
      <c r="J25" s="4">
        <f t="shared" si="0"/>
        <v>0</v>
      </c>
      <c r="K25" s="28">
        <v>60</v>
      </c>
      <c r="L25" s="8">
        <v>0</v>
      </c>
      <c r="M25" s="4">
        <f t="shared" si="1"/>
        <v>0</v>
      </c>
    </row>
    <row r="26" spans="1:13" x14ac:dyDescent="0.2">
      <c r="A26" s="18">
        <v>10698861</v>
      </c>
      <c r="B26" s="3" t="s">
        <v>22</v>
      </c>
      <c r="C26" s="24" t="s">
        <v>94</v>
      </c>
      <c r="D26" s="24" t="s">
        <v>110</v>
      </c>
      <c r="E26" s="24" t="str">
        <f t="shared" si="2"/>
        <v>SUREGUARD SC1 pt. bottlePeriod 1</v>
      </c>
      <c r="F26" s="24" t="str">
        <f t="shared" si="3"/>
        <v>SUREGUARD SC1 pt. bottlePeriod 2</v>
      </c>
      <c r="G26" s="28">
        <v>12.5</v>
      </c>
      <c r="H26" s="8">
        <v>0</v>
      </c>
      <c r="I26" s="8">
        <v>0</v>
      </c>
      <c r="J26" s="4">
        <f t="shared" si="0"/>
        <v>0</v>
      </c>
      <c r="K26" s="28">
        <v>5</v>
      </c>
      <c r="L26" s="8">
        <v>0</v>
      </c>
      <c r="M26" s="4">
        <f t="shared" si="1"/>
        <v>0</v>
      </c>
    </row>
    <row r="27" spans="1:13" x14ac:dyDescent="0.2">
      <c r="A27" s="18">
        <v>10698464</v>
      </c>
      <c r="B27" s="37" t="s">
        <v>142</v>
      </c>
      <c r="C27" s="38" t="s">
        <v>156</v>
      </c>
      <c r="D27" s="38" t="s">
        <v>111</v>
      </c>
      <c r="E27" s="38" t="str">
        <f t="shared" si="2"/>
        <v>SUREGUARD SC (1-7 units)64 fl oz. bottlePeriod 1</v>
      </c>
      <c r="F27" s="38" t="str">
        <f t="shared" si="3"/>
        <v>SUREGUARD SC (1-7 units)64 fl oz. bottlePeriod 2</v>
      </c>
      <c r="G27" s="39">
        <v>50</v>
      </c>
      <c r="H27" s="39">
        <v>60</v>
      </c>
      <c r="I27" s="40">
        <v>0</v>
      </c>
      <c r="J27" s="41">
        <f t="shared" si="0"/>
        <v>0</v>
      </c>
      <c r="K27" s="39">
        <v>20</v>
      </c>
      <c r="L27" s="40">
        <v>0</v>
      </c>
      <c r="M27" s="41">
        <f t="shared" si="1"/>
        <v>0</v>
      </c>
    </row>
    <row r="28" spans="1:13" x14ac:dyDescent="0.2">
      <c r="A28" s="18">
        <v>10698464</v>
      </c>
      <c r="B28" s="37" t="s">
        <v>143</v>
      </c>
      <c r="C28" s="38" t="s">
        <v>157</v>
      </c>
      <c r="D28" s="38" t="s">
        <v>111</v>
      </c>
      <c r="E28" s="38" t="str">
        <f t="shared" ref="E28" si="6">CONCATENATE(C28,D28,$A$1)</f>
        <v>SUREGUARD SC (8+ units)64 fl oz. bottlePeriod 1</v>
      </c>
      <c r="F28" s="38" t="str">
        <f t="shared" ref="F28" si="7">CONCATENATE(C28,D28,$A$2)</f>
        <v>SUREGUARD SC (8+ units)64 fl oz. bottlePeriod 2</v>
      </c>
      <c r="G28" s="39">
        <v>60</v>
      </c>
      <c r="H28" s="39"/>
      <c r="I28" s="40"/>
      <c r="J28" s="41"/>
      <c r="K28" s="39">
        <v>20</v>
      </c>
      <c r="L28" s="40"/>
      <c r="M28" s="41"/>
    </row>
    <row r="29" spans="1:13" x14ac:dyDescent="0.2">
      <c r="A29" s="18">
        <v>10724225</v>
      </c>
      <c r="B29" s="3" t="s">
        <v>23</v>
      </c>
      <c r="C29" s="24" t="s">
        <v>97</v>
      </c>
      <c r="D29" s="24" t="s">
        <v>101</v>
      </c>
      <c r="E29" s="24" t="str">
        <f t="shared" si="2"/>
        <v>SURE POWER2.5 gal. bottlePeriod 1</v>
      </c>
      <c r="F29" s="24" t="str">
        <f t="shared" si="3"/>
        <v>SURE POWER2.5 gal. bottlePeriod 2</v>
      </c>
      <c r="G29" s="28">
        <v>10</v>
      </c>
      <c r="H29" s="8">
        <v>0</v>
      </c>
      <c r="I29" s="8">
        <v>0</v>
      </c>
      <c r="J29" s="4">
        <f t="shared" si="0"/>
        <v>0</v>
      </c>
      <c r="K29" s="28">
        <v>5</v>
      </c>
      <c r="L29" s="8">
        <v>0</v>
      </c>
      <c r="M29" s="4">
        <f t="shared" si="1"/>
        <v>0</v>
      </c>
    </row>
    <row r="30" spans="1:13" x14ac:dyDescent="0.2">
      <c r="A30" s="18">
        <v>10724030</v>
      </c>
      <c r="B30" s="3" t="s">
        <v>24</v>
      </c>
      <c r="C30" s="24" t="s">
        <v>97</v>
      </c>
      <c r="D30" s="24" t="s">
        <v>107</v>
      </c>
      <c r="E30" s="24" t="str">
        <f t="shared" si="2"/>
        <v>SURE POWER30 gal. drumPeriod 1</v>
      </c>
      <c r="F30" s="24" t="str">
        <f t="shared" si="3"/>
        <v>SURE POWER30 gal. drumPeriod 2</v>
      </c>
      <c r="G30" s="28">
        <v>120</v>
      </c>
      <c r="H30" s="8">
        <v>0</v>
      </c>
      <c r="I30" s="8">
        <v>0</v>
      </c>
      <c r="J30" s="4">
        <f t="shared" si="0"/>
        <v>0</v>
      </c>
      <c r="K30" s="28">
        <v>60</v>
      </c>
      <c r="L30" s="8">
        <v>0</v>
      </c>
      <c r="M30" s="4">
        <f t="shared" si="1"/>
        <v>0</v>
      </c>
    </row>
    <row r="31" spans="1:13" x14ac:dyDescent="0.2">
      <c r="A31" s="18">
        <v>10361225</v>
      </c>
      <c r="B31" s="3" t="s">
        <v>25</v>
      </c>
      <c r="C31" s="24" t="s">
        <v>68</v>
      </c>
      <c r="D31" s="24" t="s">
        <v>101</v>
      </c>
      <c r="E31" s="24" t="str">
        <f t="shared" si="2"/>
        <v>TRIPLET LOW ODOR2.5 gal. bottlePeriod 1</v>
      </c>
      <c r="F31" s="24" t="str">
        <f t="shared" si="3"/>
        <v>TRIPLET LOW ODOR2.5 gal. bottlePeriod 2</v>
      </c>
      <c r="G31" s="28">
        <v>10</v>
      </c>
      <c r="H31" s="8">
        <v>0</v>
      </c>
      <c r="I31" s="8">
        <v>0</v>
      </c>
      <c r="J31" s="4">
        <f t="shared" si="0"/>
        <v>0</v>
      </c>
      <c r="K31" s="28">
        <v>5</v>
      </c>
      <c r="L31" s="8">
        <v>0</v>
      </c>
      <c r="M31" s="4">
        <f t="shared" si="1"/>
        <v>0</v>
      </c>
    </row>
    <row r="32" spans="1:13" x14ac:dyDescent="0.2">
      <c r="A32" s="18">
        <v>10361030</v>
      </c>
      <c r="B32" s="3" t="s">
        <v>26</v>
      </c>
      <c r="C32" s="24" t="s">
        <v>68</v>
      </c>
      <c r="D32" s="24" t="s">
        <v>107</v>
      </c>
      <c r="E32" s="24" t="str">
        <f t="shared" si="2"/>
        <v>TRIPLET LOW ODOR30 gal. drumPeriod 1</v>
      </c>
      <c r="F32" s="24" t="str">
        <f t="shared" si="3"/>
        <v>TRIPLET LOW ODOR30 gal. drumPeriod 2</v>
      </c>
      <c r="G32" s="28">
        <v>120</v>
      </c>
      <c r="H32" s="8">
        <v>0</v>
      </c>
      <c r="I32" s="8">
        <v>0</v>
      </c>
      <c r="J32" s="4">
        <f t="shared" si="0"/>
        <v>0</v>
      </c>
      <c r="K32" s="28">
        <v>60</v>
      </c>
      <c r="L32" s="8">
        <v>0</v>
      </c>
      <c r="M32" s="4">
        <f t="shared" si="1"/>
        <v>0</v>
      </c>
    </row>
    <row r="33" spans="1:13" s="2" customFormat="1" x14ac:dyDescent="0.2">
      <c r="A33" s="18"/>
      <c r="B33" s="1" t="s">
        <v>27</v>
      </c>
      <c r="C33" s="23" t="s">
        <v>27</v>
      </c>
      <c r="D33" s="24"/>
      <c r="E33" s="24" t="str">
        <f t="shared" si="2"/>
        <v>InsecticidesPeriod 1</v>
      </c>
      <c r="F33" s="24" t="str">
        <f t="shared" si="3"/>
        <v>InsecticidesPeriod 2</v>
      </c>
      <c r="G33" s="29"/>
      <c r="H33" s="10"/>
      <c r="I33" s="7"/>
      <c r="J33" s="4"/>
      <c r="K33" s="29"/>
      <c r="L33" s="7"/>
      <c r="M33" s="4"/>
    </row>
    <row r="34" spans="1:13" x14ac:dyDescent="0.2">
      <c r="A34" s="18">
        <v>10678464</v>
      </c>
      <c r="B34" s="37" t="s">
        <v>144</v>
      </c>
      <c r="C34" s="38" t="s">
        <v>158</v>
      </c>
      <c r="D34" s="38" t="s">
        <v>111</v>
      </c>
      <c r="E34" s="38" t="str">
        <f t="shared" si="2"/>
        <v>ALOFT GC SC  (1-7 units)64 fl oz. bottlePeriod 1</v>
      </c>
      <c r="F34" s="38" t="str">
        <f t="shared" si="3"/>
        <v>ALOFT GC SC  (1-7 units)64 fl oz. bottlePeriod 2</v>
      </c>
      <c r="G34" s="39">
        <v>20</v>
      </c>
      <c r="H34" s="39">
        <v>50</v>
      </c>
      <c r="I34" s="40">
        <v>0</v>
      </c>
      <c r="J34" s="41">
        <f t="shared" ref="J34:J54" si="8">G34*I34</f>
        <v>0</v>
      </c>
      <c r="K34" s="39">
        <v>10</v>
      </c>
      <c r="L34" s="40">
        <v>0</v>
      </c>
      <c r="M34" s="41">
        <f t="shared" ref="M34:M54" si="9">K34*L34</f>
        <v>0</v>
      </c>
    </row>
    <row r="35" spans="1:13" x14ac:dyDescent="0.2">
      <c r="A35" s="18">
        <v>10678464</v>
      </c>
      <c r="B35" s="37" t="s">
        <v>145</v>
      </c>
      <c r="C35" s="38" t="s">
        <v>159</v>
      </c>
      <c r="D35" s="38" t="s">
        <v>111</v>
      </c>
      <c r="E35" s="38" t="str">
        <f t="shared" ref="E35" si="10">CONCATENATE(C35,D35,$A$1)</f>
        <v>ALOFT GC SC (8+ units)64 fl oz. bottlePeriod 1</v>
      </c>
      <c r="F35" s="38" t="str">
        <f t="shared" ref="F35" si="11">CONCATENATE(C35,D35,$A$2)</f>
        <v>ALOFT GC SC (8+ units)64 fl oz. bottlePeriod 2</v>
      </c>
      <c r="G35" s="39">
        <v>50</v>
      </c>
      <c r="H35" s="39"/>
      <c r="I35" s="40"/>
      <c r="J35" s="41"/>
      <c r="K35" s="39">
        <v>10</v>
      </c>
      <c r="L35" s="40"/>
      <c r="M35" s="41"/>
    </row>
    <row r="36" spans="1:13" x14ac:dyDescent="0.2">
      <c r="A36" s="18">
        <v>10669032</v>
      </c>
      <c r="B36" s="3" t="s">
        <v>28</v>
      </c>
      <c r="C36" s="24" t="s">
        <v>93</v>
      </c>
      <c r="D36" s="24" t="s">
        <v>112</v>
      </c>
      <c r="E36" s="24" t="str">
        <f t="shared" si="2"/>
        <v>ALOFT LC G30 lb. bagPeriod 1</v>
      </c>
      <c r="F36" s="24" t="str">
        <f t="shared" si="3"/>
        <v>ALOFT LC G30 lb. bagPeriod 2</v>
      </c>
      <c r="G36" s="28">
        <v>3</v>
      </c>
      <c r="H36" s="8">
        <v>0</v>
      </c>
      <c r="I36" s="8">
        <v>0</v>
      </c>
      <c r="J36" s="4">
        <f t="shared" si="8"/>
        <v>0</v>
      </c>
      <c r="K36" s="28">
        <v>1.5</v>
      </c>
      <c r="L36" s="8">
        <v>0</v>
      </c>
      <c r="M36" s="4">
        <f t="shared" si="9"/>
        <v>0</v>
      </c>
    </row>
    <row r="37" spans="1:13" x14ac:dyDescent="0.2">
      <c r="A37" s="18">
        <v>10677464</v>
      </c>
      <c r="B37" s="37" t="s">
        <v>146</v>
      </c>
      <c r="C37" s="38" t="s">
        <v>160</v>
      </c>
      <c r="D37" s="38" t="s">
        <v>111</v>
      </c>
      <c r="E37" s="38" t="str">
        <f t="shared" si="2"/>
        <v>ALOFT LC SC (1-7 units)64 fl oz. bottlePeriod 1</v>
      </c>
      <c r="F37" s="38" t="str">
        <f t="shared" si="3"/>
        <v>ALOFT LC SC (1-7 units)64 fl oz. bottlePeriod 2</v>
      </c>
      <c r="G37" s="39">
        <v>20</v>
      </c>
      <c r="H37" s="39">
        <v>50</v>
      </c>
      <c r="I37" s="40">
        <v>0</v>
      </c>
      <c r="J37" s="41">
        <f t="shared" si="8"/>
        <v>0</v>
      </c>
      <c r="K37" s="39">
        <v>10</v>
      </c>
      <c r="L37" s="40">
        <v>0</v>
      </c>
      <c r="M37" s="41">
        <f t="shared" si="9"/>
        <v>0</v>
      </c>
    </row>
    <row r="38" spans="1:13" x14ac:dyDescent="0.2">
      <c r="A38" s="18">
        <v>10677464</v>
      </c>
      <c r="B38" s="37" t="s">
        <v>147</v>
      </c>
      <c r="C38" s="38" t="s">
        <v>161</v>
      </c>
      <c r="D38" s="38" t="s">
        <v>111</v>
      </c>
      <c r="E38" s="38" t="str">
        <f t="shared" ref="E38" si="12">CONCATENATE(C38,D38,$A$1)</f>
        <v>ALOFT LC SC (8+ units)64 fl oz. bottlePeriod 1</v>
      </c>
      <c r="F38" s="38" t="str">
        <f t="shared" ref="F38" si="13">CONCATENATE(C38,D38,$A$2)</f>
        <v>ALOFT LC SC (8+ units)64 fl oz. bottlePeriod 2</v>
      </c>
      <c r="G38" s="39">
        <v>50</v>
      </c>
      <c r="H38" s="39"/>
      <c r="I38" s="40"/>
      <c r="J38" s="41"/>
      <c r="K38" s="39">
        <v>10</v>
      </c>
      <c r="L38" s="40"/>
      <c r="M38" s="41"/>
    </row>
    <row r="39" spans="1:13" x14ac:dyDescent="0.2">
      <c r="A39" s="18">
        <v>10580032</v>
      </c>
      <c r="B39" s="3" t="s">
        <v>29</v>
      </c>
      <c r="C39" s="24" t="s">
        <v>79</v>
      </c>
      <c r="D39" s="24" t="s">
        <v>112</v>
      </c>
      <c r="E39" s="24" t="str">
        <f t="shared" si="2"/>
        <v>ARENA 0.25 G30 lb. bagPeriod 1</v>
      </c>
      <c r="F39" s="24" t="str">
        <f t="shared" si="3"/>
        <v>ARENA 0.25 G30 lb. bagPeriod 2</v>
      </c>
      <c r="G39" s="28">
        <v>3</v>
      </c>
      <c r="H39" s="8">
        <v>0</v>
      </c>
      <c r="I39" s="8">
        <v>0</v>
      </c>
      <c r="J39" s="4">
        <f t="shared" si="8"/>
        <v>0</v>
      </c>
      <c r="K39" s="28">
        <v>1.5</v>
      </c>
      <c r="L39" s="8">
        <v>0</v>
      </c>
      <c r="M39" s="4">
        <f t="shared" si="9"/>
        <v>0</v>
      </c>
    </row>
    <row r="40" spans="1:13" x14ac:dyDescent="0.2">
      <c r="A40" s="18">
        <v>10581440</v>
      </c>
      <c r="B40" s="3" t="s">
        <v>30</v>
      </c>
      <c r="C40" s="36" t="s">
        <v>80</v>
      </c>
      <c r="D40" s="24" t="s">
        <v>113</v>
      </c>
      <c r="E40" s="24" t="str">
        <f t="shared" si="2"/>
        <v>ARENA 50 WDG40 wt oz. bottlePeriod 1</v>
      </c>
      <c r="F40" s="24" t="str">
        <f t="shared" si="3"/>
        <v>ARENA 50 WDG40 wt oz. bottlePeriod 2</v>
      </c>
      <c r="G40" s="28">
        <v>50</v>
      </c>
      <c r="H40" s="8">
        <v>0</v>
      </c>
      <c r="I40" s="8">
        <v>0</v>
      </c>
      <c r="J40" s="4">
        <f t="shared" si="8"/>
        <v>0</v>
      </c>
      <c r="K40" s="28">
        <v>20</v>
      </c>
      <c r="L40" s="8">
        <v>0</v>
      </c>
      <c r="M40" s="4">
        <f t="shared" si="9"/>
        <v>0</v>
      </c>
    </row>
    <row r="41" spans="1:13" x14ac:dyDescent="0.2">
      <c r="A41" s="18">
        <v>10824440</v>
      </c>
      <c r="B41" s="3" t="s">
        <v>217</v>
      </c>
      <c r="C41" s="44" t="s">
        <v>214</v>
      </c>
      <c r="D41" s="24" t="s">
        <v>113</v>
      </c>
      <c r="E41" s="24" t="str">
        <f t="shared" ref="E41" si="14">CONCATENATE(C41,D41,$A$1)</f>
        <v>ARENA SE 50 WDG (Florida Only)40 wt oz. bottlePeriod 1</v>
      </c>
      <c r="F41" s="24" t="str">
        <f t="shared" ref="F41" si="15">CONCATENATE(C41,D41,$A$2)</f>
        <v>ARENA SE 50 WDG (Florida Only)40 wt oz. bottlePeriod 2</v>
      </c>
      <c r="G41" s="28">
        <v>40</v>
      </c>
      <c r="H41" s="8">
        <v>0</v>
      </c>
      <c r="I41" s="8">
        <v>0</v>
      </c>
      <c r="J41" s="4">
        <f t="shared" ref="J41" si="16">G41*I41</f>
        <v>0</v>
      </c>
      <c r="K41" s="28">
        <v>15</v>
      </c>
      <c r="L41" s="8"/>
      <c r="M41" s="4">
        <f t="shared" ref="M41" si="17">K41*L41</f>
        <v>0</v>
      </c>
    </row>
    <row r="42" spans="1:13" x14ac:dyDescent="0.2">
      <c r="A42" s="18">
        <v>10586301</v>
      </c>
      <c r="B42" s="3" t="s">
        <v>31</v>
      </c>
      <c r="C42" s="24" t="s">
        <v>82</v>
      </c>
      <c r="D42" s="24" t="s">
        <v>106</v>
      </c>
      <c r="E42" s="24" t="str">
        <f t="shared" si="2"/>
        <v>DIPEL PRO DF1 lb. bagPeriod 1</v>
      </c>
      <c r="F42" s="24" t="str">
        <f t="shared" si="3"/>
        <v>DIPEL PRO DF1 lb. bagPeriod 2</v>
      </c>
      <c r="G42" s="28">
        <v>1</v>
      </c>
      <c r="H42" s="8">
        <v>0</v>
      </c>
      <c r="I42" s="8">
        <v>0</v>
      </c>
      <c r="J42" s="4">
        <f t="shared" si="8"/>
        <v>0</v>
      </c>
      <c r="K42" s="28">
        <v>0.5</v>
      </c>
      <c r="L42" s="8">
        <v>0</v>
      </c>
      <c r="M42" s="4">
        <f t="shared" si="9"/>
        <v>0</v>
      </c>
    </row>
    <row r="43" spans="1:13" x14ac:dyDescent="0.2">
      <c r="A43" s="18">
        <v>10588432</v>
      </c>
      <c r="B43" s="3" t="s">
        <v>32</v>
      </c>
      <c r="C43" s="24" t="s">
        <v>83</v>
      </c>
      <c r="D43" s="24" t="s">
        <v>114</v>
      </c>
      <c r="E43" s="24" t="str">
        <f t="shared" si="2"/>
        <v>DISTANCE IGR1 qt. bottlePeriod 1</v>
      </c>
      <c r="F43" s="24" t="str">
        <f t="shared" si="3"/>
        <v>DISTANCE IGR1 qt. bottlePeriod 2</v>
      </c>
      <c r="G43" s="28">
        <v>10</v>
      </c>
      <c r="H43" s="8">
        <v>0</v>
      </c>
      <c r="I43" s="8">
        <v>0</v>
      </c>
      <c r="J43" s="4">
        <f t="shared" si="8"/>
        <v>0</v>
      </c>
      <c r="K43" s="28">
        <v>5</v>
      </c>
      <c r="L43" s="8">
        <v>0</v>
      </c>
      <c r="M43" s="4">
        <f t="shared" si="9"/>
        <v>0</v>
      </c>
    </row>
    <row r="44" spans="1:13" x14ac:dyDescent="0.2">
      <c r="A44" s="18">
        <v>10809861</v>
      </c>
      <c r="B44" s="17" t="s">
        <v>58</v>
      </c>
      <c r="C44" s="36" t="s">
        <v>98</v>
      </c>
      <c r="D44" s="24" t="s">
        <v>110</v>
      </c>
      <c r="E44" s="24" t="str">
        <f t="shared" si="2"/>
        <v>ENGULF GHN1 pt. bottlePeriod 1</v>
      </c>
      <c r="F44" s="24" t="str">
        <f t="shared" si="3"/>
        <v>ENGULF GHN1 pt. bottlePeriod 2</v>
      </c>
      <c r="G44" s="28">
        <v>20</v>
      </c>
      <c r="H44" s="8">
        <v>0</v>
      </c>
      <c r="I44" s="8">
        <v>0</v>
      </c>
      <c r="J44" s="4">
        <f t="shared" si="8"/>
        <v>0</v>
      </c>
      <c r="K44" s="28">
        <v>10</v>
      </c>
      <c r="L44" s="8"/>
      <c r="M44" s="4">
        <f t="shared" si="9"/>
        <v>0</v>
      </c>
    </row>
    <row r="45" spans="1:13" x14ac:dyDescent="0.2">
      <c r="A45" s="18">
        <v>10591163</v>
      </c>
      <c r="B45" s="3" t="s">
        <v>33</v>
      </c>
      <c r="C45" s="24" t="s">
        <v>85</v>
      </c>
      <c r="D45" s="24" t="s">
        <v>115</v>
      </c>
      <c r="E45" s="24" t="str">
        <f t="shared" si="2"/>
        <v>GNATROL WDG16 lb. pailPeriod 1</v>
      </c>
      <c r="F45" s="24" t="str">
        <f t="shared" si="3"/>
        <v>GNATROL WDG16 lb. pailPeriod 2</v>
      </c>
      <c r="G45" s="28">
        <v>16</v>
      </c>
      <c r="H45" s="8">
        <v>0</v>
      </c>
      <c r="I45" s="8">
        <v>0</v>
      </c>
      <c r="J45" s="4">
        <f t="shared" si="8"/>
        <v>0</v>
      </c>
      <c r="K45" s="28">
        <v>8</v>
      </c>
      <c r="L45" s="8">
        <v>0</v>
      </c>
      <c r="M45" s="4">
        <f t="shared" si="9"/>
        <v>0</v>
      </c>
    </row>
    <row r="46" spans="1:13" x14ac:dyDescent="0.2">
      <c r="A46" s="18">
        <v>10666432</v>
      </c>
      <c r="B46" s="3" t="s">
        <v>34</v>
      </c>
      <c r="C46" s="24" t="s">
        <v>92</v>
      </c>
      <c r="D46" s="24" t="s">
        <v>114</v>
      </c>
      <c r="E46" s="24" t="str">
        <f t="shared" si="2"/>
        <v>MINX 21 qt. bottlePeriod 1</v>
      </c>
      <c r="F46" s="24" t="str">
        <f t="shared" si="3"/>
        <v>MINX 21 qt. bottlePeriod 2</v>
      </c>
      <c r="G46" s="28">
        <v>5</v>
      </c>
      <c r="H46" s="8">
        <v>0</v>
      </c>
      <c r="I46" s="8">
        <v>0</v>
      </c>
      <c r="J46" s="4">
        <f t="shared" si="8"/>
        <v>0</v>
      </c>
      <c r="K46" s="28">
        <v>1.5</v>
      </c>
      <c r="L46" s="8">
        <v>0</v>
      </c>
      <c r="M46" s="4">
        <f t="shared" si="9"/>
        <v>0</v>
      </c>
    </row>
    <row r="47" spans="1:13" x14ac:dyDescent="0.2">
      <c r="A47" s="18">
        <v>10666041</v>
      </c>
      <c r="B47" s="3" t="s">
        <v>35</v>
      </c>
      <c r="C47" s="24" t="s">
        <v>92</v>
      </c>
      <c r="D47" s="24" t="s">
        <v>116</v>
      </c>
      <c r="E47" s="24" t="str">
        <f t="shared" si="2"/>
        <v>MINX 21 gal. bottlePeriod 1</v>
      </c>
      <c r="F47" s="24" t="str">
        <f t="shared" si="3"/>
        <v>MINX 21 gal. bottlePeriod 2</v>
      </c>
      <c r="G47" s="28">
        <v>20</v>
      </c>
      <c r="H47" s="8">
        <v>0</v>
      </c>
      <c r="I47" s="8">
        <v>0</v>
      </c>
      <c r="J47" s="4">
        <f t="shared" si="8"/>
        <v>0</v>
      </c>
      <c r="K47" s="28">
        <v>6</v>
      </c>
      <c r="L47" s="8">
        <v>0</v>
      </c>
      <c r="M47" s="4">
        <f t="shared" si="9"/>
        <v>0</v>
      </c>
    </row>
    <row r="48" spans="1:13" x14ac:dyDescent="0.2">
      <c r="A48" s="18">
        <v>10592882</v>
      </c>
      <c r="B48" s="3" t="s">
        <v>36</v>
      </c>
      <c r="C48" s="24" t="s">
        <v>86</v>
      </c>
      <c r="D48" s="24" t="s">
        <v>106</v>
      </c>
      <c r="E48" s="24" t="str">
        <f t="shared" si="2"/>
        <v>OVERTURE 35 WP1 lb. bagPeriod 1</v>
      </c>
      <c r="F48" s="24" t="str">
        <f t="shared" si="3"/>
        <v>OVERTURE 35 WP1 lb. bagPeriod 2</v>
      </c>
      <c r="G48" s="28">
        <v>6</v>
      </c>
      <c r="H48" s="8">
        <v>0</v>
      </c>
      <c r="I48" s="8">
        <v>0</v>
      </c>
      <c r="J48" s="4">
        <f t="shared" si="8"/>
        <v>0</v>
      </c>
      <c r="K48" s="28">
        <v>2</v>
      </c>
      <c r="L48" s="8">
        <v>0</v>
      </c>
      <c r="M48" s="4">
        <f t="shared" si="9"/>
        <v>0</v>
      </c>
    </row>
    <row r="49" spans="1:13" x14ac:dyDescent="0.2">
      <c r="A49" s="18">
        <v>10594164</v>
      </c>
      <c r="B49" s="3" t="s">
        <v>37</v>
      </c>
      <c r="C49" s="24" t="s">
        <v>87</v>
      </c>
      <c r="D49" s="24" t="s">
        <v>117</v>
      </c>
      <c r="E49" s="24" t="str">
        <f t="shared" si="2"/>
        <v>SAFARI 20 SG12 wt oz. bottlePeriod 1</v>
      </c>
      <c r="F49" s="24" t="str">
        <f t="shared" si="3"/>
        <v>SAFARI 20 SG12 wt oz. bottlePeriod 2</v>
      </c>
      <c r="G49" s="28">
        <v>6</v>
      </c>
      <c r="H49" s="8">
        <v>0</v>
      </c>
      <c r="I49" s="8">
        <v>0</v>
      </c>
      <c r="J49" s="4">
        <f t="shared" si="8"/>
        <v>0</v>
      </c>
      <c r="K49" s="28">
        <v>3</v>
      </c>
      <c r="L49" s="8">
        <v>0</v>
      </c>
      <c r="M49" s="4">
        <f t="shared" si="9"/>
        <v>0</v>
      </c>
    </row>
    <row r="50" spans="1:13" x14ac:dyDescent="0.2">
      <c r="A50" s="18">
        <v>10594403</v>
      </c>
      <c r="B50" s="3" t="s">
        <v>38</v>
      </c>
      <c r="C50" s="24" t="s">
        <v>87</v>
      </c>
      <c r="D50" s="24" t="s">
        <v>134</v>
      </c>
      <c r="E50" s="24" t="str">
        <f t="shared" si="2"/>
        <v>SAFARI 20 SG3 lb. bottlePeriod 1</v>
      </c>
      <c r="F50" s="24" t="str">
        <f t="shared" si="3"/>
        <v>SAFARI 20 SG3 lb. bottlePeriod 2</v>
      </c>
      <c r="G50" s="28">
        <v>24</v>
      </c>
      <c r="H50" s="8">
        <v>0</v>
      </c>
      <c r="I50" s="8">
        <v>0</v>
      </c>
      <c r="J50" s="4">
        <f t="shared" si="8"/>
        <v>0</v>
      </c>
      <c r="K50" s="28">
        <v>12</v>
      </c>
      <c r="L50" s="8">
        <v>0</v>
      </c>
      <c r="M50" s="4">
        <f t="shared" si="9"/>
        <v>0</v>
      </c>
    </row>
    <row r="51" spans="1:13" x14ac:dyDescent="0.2">
      <c r="A51" s="18">
        <v>10598121</v>
      </c>
      <c r="B51" s="3" t="s">
        <v>39</v>
      </c>
      <c r="C51" s="24" t="s">
        <v>89</v>
      </c>
      <c r="D51" s="24" t="s">
        <v>114</v>
      </c>
      <c r="E51" s="24" t="str">
        <f t="shared" si="2"/>
        <v>TAME 2.4 EC SPRAY1 qt. bottlePeriod 1</v>
      </c>
      <c r="F51" s="24" t="str">
        <f t="shared" si="3"/>
        <v>TAME 2.4 EC SPRAY1 qt. bottlePeriod 2</v>
      </c>
      <c r="G51" s="28">
        <v>4</v>
      </c>
      <c r="H51" s="8">
        <v>0</v>
      </c>
      <c r="I51" s="8">
        <v>0</v>
      </c>
      <c r="J51" s="4">
        <f t="shared" si="8"/>
        <v>0</v>
      </c>
      <c r="K51" s="28">
        <v>2</v>
      </c>
      <c r="L51" s="8">
        <v>0</v>
      </c>
      <c r="M51" s="4">
        <f t="shared" si="9"/>
        <v>0</v>
      </c>
    </row>
    <row r="52" spans="1:13" x14ac:dyDescent="0.2">
      <c r="A52" s="18">
        <v>10599882</v>
      </c>
      <c r="B52" s="3" t="s">
        <v>40</v>
      </c>
      <c r="C52" s="24" t="s">
        <v>90</v>
      </c>
      <c r="D52" s="24" t="s">
        <v>106</v>
      </c>
      <c r="E52" s="24" t="str">
        <f t="shared" si="2"/>
        <v>TETRASAN 5 WDG1 lb. bagPeriod 1</v>
      </c>
      <c r="F52" s="24" t="str">
        <f t="shared" si="3"/>
        <v>TETRASAN 5 WDG1 lb. bagPeriod 2</v>
      </c>
      <c r="G52" s="28">
        <v>6</v>
      </c>
      <c r="H52" s="8">
        <v>0</v>
      </c>
      <c r="I52" s="8">
        <v>0</v>
      </c>
      <c r="J52" s="4">
        <f t="shared" si="8"/>
        <v>0</v>
      </c>
      <c r="K52" s="28">
        <v>3</v>
      </c>
      <c r="L52" s="8">
        <v>0</v>
      </c>
      <c r="M52" s="4">
        <f t="shared" si="9"/>
        <v>0</v>
      </c>
    </row>
    <row r="53" spans="1:13" x14ac:dyDescent="0.2">
      <c r="A53" s="18">
        <v>10520432</v>
      </c>
      <c r="B53" s="3" t="s">
        <v>41</v>
      </c>
      <c r="C53" s="24" t="s">
        <v>75</v>
      </c>
      <c r="D53" s="24" t="s">
        <v>114</v>
      </c>
      <c r="E53" s="24" t="str">
        <f t="shared" si="2"/>
        <v>TRISTAR 8.5 SL1 qt. bottlePeriod 1</v>
      </c>
      <c r="F53" s="24" t="str">
        <f t="shared" si="3"/>
        <v>TRISTAR 8.5 SL1 qt. bottlePeriod 2</v>
      </c>
      <c r="G53" s="28">
        <v>12.5</v>
      </c>
      <c r="H53" s="8">
        <v>0</v>
      </c>
      <c r="I53" s="8">
        <v>0</v>
      </c>
      <c r="J53" s="4">
        <f t="shared" si="8"/>
        <v>0</v>
      </c>
      <c r="K53" s="28">
        <v>5</v>
      </c>
      <c r="L53" s="8">
        <v>0</v>
      </c>
      <c r="M53" s="4">
        <f t="shared" si="9"/>
        <v>0</v>
      </c>
    </row>
    <row r="54" spans="1:13" x14ac:dyDescent="0.2">
      <c r="A54" s="18">
        <v>10520041</v>
      </c>
      <c r="B54" s="3" t="s">
        <v>42</v>
      </c>
      <c r="C54" s="24" t="s">
        <v>75</v>
      </c>
      <c r="D54" s="24" t="s">
        <v>116</v>
      </c>
      <c r="E54" s="24" t="str">
        <f t="shared" si="2"/>
        <v>TRISTAR 8.5 SL1 gal. bottlePeriod 1</v>
      </c>
      <c r="F54" s="24" t="str">
        <f t="shared" si="3"/>
        <v>TRISTAR 8.5 SL1 gal. bottlePeriod 2</v>
      </c>
      <c r="G54" s="28">
        <v>50</v>
      </c>
      <c r="H54" s="8">
        <v>0</v>
      </c>
      <c r="I54" s="8">
        <v>0</v>
      </c>
      <c r="J54" s="4">
        <f t="shared" si="8"/>
        <v>0</v>
      </c>
      <c r="K54" s="28">
        <v>20</v>
      </c>
      <c r="L54" s="8">
        <v>0</v>
      </c>
      <c r="M54" s="4">
        <f t="shared" si="9"/>
        <v>0</v>
      </c>
    </row>
    <row r="55" spans="1:13" s="2" customFormat="1" x14ac:dyDescent="0.2">
      <c r="A55" s="18"/>
      <c r="B55" s="1" t="s">
        <v>43</v>
      </c>
      <c r="C55" s="23" t="s">
        <v>43</v>
      </c>
      <c r="D55" s="24"/>
      <c r="E55" s="24" t="str">
        <f t="shared" si="2"/>
        <v>FungicidesPeriod 1</v>
      </c>
      <c r="F55" s="24" t="str">
        <f t="shared" si="3"/>
        <v>FungicidesPeriod 2</v>
      </c>
      <c r="G55" s="29"/>
      <c r="H55" s="10"/>
      <c r="I55" s="7"/>
      <c r="J55" s="4"/>
      <c r="K55" s="29"/>
      <c r="L55" s="7"/>
      <c r="M55" s="4"/>
    </row>
    <row r="56" spans="1:13" x14ac:dyDescent="0.2">
      <c r="A56" s="18">
        <v>10502225</v>
      </c>
      <c r="B56" s="3" t="s">
        <v>44</v>
      </c>
      <c r="C56" s="24" t="s">
        <v>74</v>
      </c>
      <c r="D56" s="24" t="s">
        <v>101</v>
      </c>
      <c r="E56" s="24" t="str">
        <f t="shared" si="2"/>
        <v>26/362.5 gal. bottlePeriod 1</v>
      </c>
      <c r="F56" s="24" t="str">
        <f t="shared" si="3"/>
        <v>26/362.5 gal. bottlePeriod 2</v>
      </c>
      <c r="G56" s="28">
        <v>20</v>
      </c>
      <c r="H56" s="8">
        <v>0</v>
      </c>
      <c r="I56" s="8">
        <v>0</v>
      </c>
      <c r="J56" s="4">
        <f t="shared" ref="J56:J72" si="18">G56*I56</f>
        <v>0</v>
      </c>
      <c r="K56" s="28">
        <v>10</v>
      </c>
      <c r="L56" s="8">
        <v>0</v>
      </c>
      <c r="M56" s="4">
        <f t="shared" ref="M56:M72" si="19">K56*L56</f>
        <v>0</v>
      </c>
    </row>
    <row r="57" spans="1:13" x14ac:dyDescent="0.2">
      <c r="A57" s="18">
        <v>10556045</v>
      </c>
      <c r="B57" s="3" t="s">
        <v>45</v>
      </c>
      <c r="C57" s="24" t="s">
        <v>77</v>
      </c>
      <c r="D57" s="24" t="s">
        <v>135</v>
      </c>
      <c r="E57" s="24" t="str">
        <f t="shared" si="2"/>
        <v>3336 EG5 lb. bottlePeriod 1</v>
      </c>
      <c r="F57" s="24" t="str">
        <f t="shared" si="3"/>
        <v>3336 EG5 lb. bottlePeriod 2</v>
      </c>
      <c r="G57" s="28">
        <v>10</v>
      </c>
      <c r="H57" s="8">
        <v>0</v>
      </c>
      <c r="I57" s="8">
        <v>0</v>
      </c>
      <c r="J57" s="4">
        <f t="shared" si="18"/>
        <v>0</v>
      </c>
      <c r="K57" s="28">
        <v>3</v>
      </c>
      <c r="L57" s="8">
        <v>0</v>
      </c>
      <c r="M57" s="4">
        <f t="shared" si="19"/>
        <v>0</v>
      </c>
    </row>
    <row r="58" spans="1:13" x14ac:dyDescent="0.2">
      <c r="A58" s="18">
        <v>10498121</v>
      </c>
      <c r="B58" s="3" t="s">
        <v>46</v>
      </c>
      <c r="C58" s="24" t="s">
        <v>71</v>
      </c>
      <c r="D58" s="24" t="s">
        <v>114</v>
      </c>
      <c r="E58" s="24" t="str">
        <f t="shared" si="2"/>
        <v>3336 F1 qt. bottlePeriod 1</v>
      </c>
      <c r="F58" s="24" t="str">
        <f t="shared" si="3"/>
        <v>3336 F1 qt. bottlePeriod 2</v>
      </c>
      <c r="G58" s="28">
        <v>3</v>
      </c>
      <c r="H58" s="8">
        <v>0</v>
      </c>
      <c r="I58" s="8">
        <v>0</v>
      </c>
      <c r="J58" s="4">
        <f t="shared" si="18"/>
        <v>0</v>
      </c>
      <c r="K58" s="28">
        <v>1</v>
      </c>
      <c r="L58" s="8">
        <v>0</v>
      </c>
      <c r="M58" s="4">
        <f t="shared" si="19"/>
        <v>0</v>
      </c>
    </row>
    <row r="59" spans="1:13" x14ac:dyDescent="0.2">
      <c r="A59" s="18">
        <v>10498225</v>
      </c>
      <c r="B59" s="37" t="s">
        <v>148</v>
      </c>
      <c r="C59" s="38" t="s">
        <v>162</v>
      </c>
      <c r="D59" s="38" t="s">
        <v>101</v>
      </c>
      <c r="E59" s="38" t="str">
        <f t="shared" si="2"/>
        <v>3336 F (1-5 units)2.5 gal. bottlePeriod 1</v>
      </c>
      <c r="F59" s="38" t="str">
        <f t="shared" si="3"/>
        <v>3336 F (1-5 units)2.5 gal. bottlePeriod 2</v>
      </c>
      <c r="G59" s="39">
        <v>20</v>
      </c>
      <c r="H59" s="39">
        <v>40</v>
      </c>
      <c r="I59" s="40">
        <v>0</v>
      </c>
      <c r="J59" s="41">
        <f t="shared" si="18"/>
        <v>0</v>
      </c>
      <c r="K59" s="39">
        <v>10</v>
      </c>
      <c r="L59" s="40">
        <v>0</v>
      </c>
      <c r="M59" s="41">
        <f t="shared" si="19"/>
        <v>0</v>
      </c>
    </row>
    <row r="60" spans="1:13" x14ac:dyDescent="0.2">
      <c r="A60" s="18">
        <v>10498225</v>
      </c>
      <c r="B60" s="37" t="s">
        <v>155</v>
      </c>
      <c r="C60" s="38" t="s">
        <v>163</v>
      </c>
      <c r="D60" s="38" t="s">
        <v>101</v>
      </c>
      <c r="E60" s="38" t="str">
        <f t="shared" ref="E60" si="20">CONCATENATE(C60,D60,$A$1)</f>
        <v>3336 F  (6+ units)2.5 gal. bottlePeriod 1</v>
      </c>
      <c r="F60" s="38" t="str">
        <f t="shared" ref="F60" si="21">CONCATENATE(C60,D60,$A$2)</f>
        <v>3336 F  (6+ units)2.5 gal. bottlePeriod 2</v>
      </c>
      <c r="G60" s="39">
        <v>40</v>
      </c>
      <c r="H60" s="39"/>
      <c r="I60" s="40"/>
      <c r="J60" s="41"/>
      <c r="K60" s="39">
        <v>10</v>
      </c>
      <c r="L60" s="40"/>
      <c r="M60" s="41"/>
    </row>
    <row r="61" spans="1:13" x14ac:dyDescent="0.2">
      <c r="A61" s="18">
        <v>10495032</v>
      </c>
      <c r="B61" s="3" t="s">
        <v>47</v>
      </c>
      <c r="C61" s="24" t="s">
        <v>70</v>
      </c>
      <c r="D61" s="24" t="s">
        <v>112</v>
      </c>
      <c r="E61" s="24" t="str">
        <f t="shared" si="2"/>
        <v>3336 DG LITE30 lb. bagPeriod 1</v>
      </c>
      <c r="F61" s="24" t="str">
        <f t="shared" si="3"/>
        <v>3336 DG LITE30 lb. bagPeriod 2</v>
      </c>
      <c r="G61" s="28">
        <v>3</v>
      </c>
      <c r="H61" s="8">
        <v>0</v>
      </c>
      <c r="I61" s="8">
        <v>0</v>
      </c>
      <c r="J61" s="4">
        <f t="shared" si="18"/>
        <v>0</v>
      </c>
      <c r="K61" s="28">
        <v>1.5</v>
      </c>
      <c r="L61" s="8">
        <v>0</v>
      </c>
      <c r="M61" s="4">
        <f t="shared" si="19"/>
        <v>0</v>
      </c>
    </row>
    <row r="62" spans="1:13" x14ac:dyDescent="0.2">
      <c r="A62" s="18">
        <v>10579121</v>
      </c>
      <c r="B62" s="3" t="s">
        <v>48</v>
      </c>
      <c r="C62" s="24" t="s">
        <v>78</v>
      </c>
      <c r="D62" s="24" t="s">
        <v>114</v>
      </c>
      <c r="E62" s="24" t="str">
        <f t="shared" si="2"/>
        <v>ADORN1 qt. bottlePeriod 1</v>
      </c>
      <c r="F62" s="24" t="str">
        <f t="shared" si="3"/>
        <v>ADORN1 qt. bottlePeriod 2</v>
      </c>
      <c r="G62" s="28">
        <v>15</v>
      </c>
      <c r="H62" s="8">
        <v>0</v>
      </c>
      <c r="I62" s="8">
        <v>0</v>
      </c>
      <c r="J62" s="4">
        <f t="shared" si="18"/>
        <v>0</v>
      </c>
      <c r="K62" s="28">
        <v>4</v>
      </c>
      <c r="L62" s="8">
        <v>0</v>
      </c>
      <c r="M62" s="4">
        <f t="shared" si="19"/>
        <v>0</v>
      </c>
    </row>
    <row r="63" spans="1:13" x14ac:dyDescent="0.2">
      <c r="A63" s="18">
        <v>10500324</v>
      </c>
      <c r="B63" s="3" t="s">
        <v>49</v>
      </c>
      <c r="C63" s="24" t="s">
        <v>72</v>
      </c>
      <c r="D63" s="24" t="s">
        <v>119</v>
      </c>
      <c r="E63" s="24" t="str">
        <f t="shared" si="2"/>
        <v>AFFIRM WDG2.4 lb. bagPeriod 1</v>
      </c>
      <c r="F63" s="24" t="str">
        <f t="shared" si="3"/>
        <v>AFFIRM WDG2.4 lb. bagPeriod 2</v>
      </c>
      <c r="G63" s="28">
        <v>9.5</v>
      </c>
      <c r="H63" s="8">
        <v>0</v>
      </c>
      <c r="I63" s="8">
        <v>0</v>
      </c>
      <c r="J63" s="4">
        <f t="shared" si="18"/>
        <v>0</v>
      </c>
      <c r="K63" s="28">
        <v>5</v>
      </c>
      <c r="L63" s="8">
        <v>0</v>
      </c>
      <c r="M63" s="4">
        <f t="shared" si="19"/>
        <v>0</v>
      </c>
    </row>
    <row r="64" spans="1:13" x14ac:dyDescent="0.2">
      <c r="A64" s="18">
        <v>10702460</v>
      </c>
      <c r="B64" s="37" t="s">
        <v>151</v>
      </c>
      <c r="C64" s="38" t="s">
        <v>165</v>
      </c>
      <c r="D64" s="38" t="s">
        <v>120</v>
      </c>
      <c r="E64" s="38" t="str">
        <f t="shared" si="2"/>
        <v>PINPOINT (1-7 units)60 fl oz. bottlePeriod 1</v>
      </c>
      <c r="F64" s="38" t="str">
        <f t="shared" si="3"/>
        <v>PINPOINT (1-7 units)60 fl oz. bottlePeriod 2</v>
      </c>
      <c r="G64" s="39">
        <v>10</v>
      </c>
      <c r="H64" s="39">
        <v>30</v>
      </c>
      <c r="I64" s="40">
        <v>0</v>
      </c>
      <c r="J64" s="41">
        <f t="shared" si="18"/>
        <v>0</v>
      </c>
      <c r="K64" s="39">
        <v>5</v>
      </c>
      <c r="L64" s="40">
        <v>0</v>
      </c>
      <c r="M64" s="41">
        <f t="shared" si="19"/>
        <v>0</v>
      </c>
    </row>
    <row r="65" spans="1:13" x14ac:dyDescent="0.2">
      <c r="A65" s="18">
        <v>10702460</v>
      </c>
      <c r="B65" s="37" t="s">
        <v>152</v>
      </c>
      <c r="C65" s="38" t="s">
        <v>164</v>
      </c>
      <c r="D65" s="38" t="s">
        <v>120</v>
      </c>
      <c r="E65" s="38" t="str">
        <f t="shared" ref="E65" si="22">CONCATENATE(C65,D65,$A$1)</f>
        <v>PINPOINT (8+ units)60 fl oz. bottlePeriod 1</v>
      </c>
      <c r="F65" s="38" t="str">
        <f t="shared" ref="F65" si="23">CONCATENATE(C65,D65,$A$2)</f>
        <v>PINPOINT (8+ units)60 fl oz. bottlePeriod 2</v>
      </c>
      <c r="G65" s="39">
        <v>30</v>
      </c>
      <c r="H65" s="39"/>
      <c r="I65" s="40"/>
      <c r="J65" s="41"/>
      <c r="K65" s="39">
        <v>5</v>
      </c>
      <c r="L65" s="40"/>
      <c r="M65" s="41"/>
    </row>
    <row r="66" spans="1:13" x14ac:dyDescent="0.2">
      <c r="A66" s="18">
        <v>10501045</v>
      </c>
      <c r="B66" s="3" t="s">
        <v>50</v>
      </c>
      <c r="C66" s="24" t="s">
        <v>73</v>
      </c>
      <c r="D66" s="24" t="s">
        <v>118</v>
      </c>
      <c r="E66" s="24" t="str">
        <f t="shared" si="2"/>
        <v>SPECTRO 90 WDG5 lb. bagPeriod 1</v>
      </c>
      <c r="F66" s="24" t="str">
        <f t="shared" si="3"/>
        <v>SPECTRO 90 WDG5 lb. bagPeriod 2</v>
      </c>
      <c r="G66" s="28">
        <v>5</v>
      </c>
      <c r="H66" s="8">
        <v>0</v>
      </c>
      <c r="I66" s="8">
        <v>0</v>
      </c>
      <c r="J66" s="4">
        <f t="shared" si="18"/>
        <v>0</v>
      </c>
      <c r="K66" s="28">
        <v>2.5</v>
      </c>
      <c r="L66" s="8">
        <v>0</v>
      </c>
      <c r="M66" s="4">
        <f t="shared" si="19"/>
        <v>0</v>
      </c>
    </row>
    <row r="67" spans="1:13" x14ac:dyDescent="0.2">
      <c r="A67" s="18">
        <v>10726861</v>
      </c>
      <c r="B67" s="37" t="s">
        <v>203</v>
      </c>
      <c r="C67" s="38" t="s">
        <v>201</v>
      </c>
      <c r="D67" s="38" t="s">
        <v>110</v>
      </c>
      <c r="E67" s="38" t="str">
        <f t="shared" si="2"/>
        <v>SPIRATO GHN (1-7 units)1 pt. bottlePeriod 1</v>
      </c>
      <c r="F67" s="38" t="str">
        <f t="shared" si="3"/>
        <v>SPIRATO GHN (1-7 units)1 pt. bottlePeriod 2</v>
      </c>
      <c r="G67" s="39">
        <v>20</v>
      </c>
      <c r="H67" s="39">
        <v>30</v>
      </c>
      <c r="I67" s="40">
        <v>0</v>
      </c>
      <c r="J67" s="41">
        <f t="shared" si="18"/>
        <v>0</v>
      </c>
      <c r="K67" s="39">
        <v>5</v>
      </c>
      <c r="L67" s="40">
        <v>0</v>
      </c>
      <c r="M67" s="41">
        <f t="shared" si="19"/>
        <v>0</v>
      </c>
    </row>
    <row r="68" spans="1:13" x14ac:dyDescent="0.2">
      <c r="A68" s="18">
        <v>10726861</v>
      </c>
      <c r="B68" s="37" t="s">
        <v>204</v>
      </c>
      <c r="C68" s="38" t="s">
        <v>202</v>
      </c>
      <c r="D68" s="38" t="s">
        <v>110</v>
      </c>
      <c r="E68" s="38" t="str">
        <f t="shared" ref="E68" si="24">CONCATENATE(C68,D68,$A$1)</f>
        <v>SPIRATO GHN (8+ units)1 pt. bottlePeriod 1</v>
      </c>
      <c r="F68" s="38" t="str">
        <f t="shared" ref="F68" si="25">CONCATENATE(C68,D68,$A$2)</f>
        <v>SPIRATO GHN (8+ units)1 pt. bottlePeriod 2</v>
      </c>
      <c r="G68" s="39">
        <v>30</v>
      </c>
      <c r="H68" s="40"/>
      <c r="I68" s="40"/>
      <c r="J68" s="41"/>
      <c r="K68" s="39">
        <v>5</v>
      </c>
      <c r="L68" s="40"/>
      <c r="M68" s="41"/>
    </row>
    <row r="69" spans="1:13" x14ac:dyDescent="0.2">
      <c r="A69" s="18">
        <v>10492051</v>
      </c>
      <c r="B69" s="3" t="s">
        <v>52</v>
      </c>
      <c r="C69" s="24" t="s">
        <v>69</v>
      </c>
      <c r="D69" s="24" t="s">
        <v>116</v>
      </c>
      <c r="E69" s="24" t="str">
        <f t="shared" si="2"/>
        <v>TORQUE1 gal. bottlePeriod 1</v>
      </c>
      <c r="F69" s="24" t="str">
        <f t="shared" si="3"/>
        <v>TORQUE1 gal. bottlePeriod 2</v>
      </c>
      <c r="G69" s="28">
        <v>8</v>
      </c>
      <c r="H69" s="8">
        <v>0</v>
      </c>
      <c r="I69" s="8">
        <v>0</v>
      </c>
      <c r="J69" s="4">
        <f t="shared" si="18"/>
        <v>0</v>
      </c>
      <c r="K69" s="28">
        <v>4</v>
      </c>
      <c r="L69" s="8">
        <v>0</v>
      </c>
      <c r="M69" s="4">
        <f t="shared" si="19"/>
        <v>0</v>
      </c>
    </row>
    <row r="70" spans="1:13" x14ac:dyDescent="0.2">
      <c r="A70" s="18">
        <v>10600045</v>
      </c>
      <c r="B70" s="17" t="s">
        <v>53</v>
      </c>
      <c r="C70" s="24" t="s">
        <v>91</v>
      </c>
      <c r="D70" s="24" t="s">
        <v>135</v>
      </c>
      <c r="E70" s="24" t="str">
        <f t="shared" si="2"/>
        <v>TOURNEY5 lb. bottlePeriod 1</v>
      </c>
      <c r="F70" s="24" t="str">
        <f t="shared" si="3"/>
        <v>TOURNEY5 lb. bottlePeriod 2</v>
      </c>
      <c r="G70" s="28">
        <v>275</v>
      </c>
      <c r="H70" s="8">
        <v>0</v>
      </c>
      <c r="I70" s="8">
        <v>0</v>
      </c>
      <c r="J70" s="4">
        <f t="shared" si="18"/>
        <v>0</v>
      </c>
      <c r="K70" s="28">
        <v>125</v>
      </c>
      <c r="L70" s="8">
        <v>0</v>
      </c>
      <c r="M70" s="4">
        <f t="shared" si="19"/>
        <v>0</v>
      </c>
    </row>
    <row r="71" spans="1:13" x14ac:dyDescent="0.2">
      <c r="A71" s="18">
        <v>10723225</v>
      </c>
      <c r="B71" s="37" t="s">
        <v>153</v>
      </c>
      <c r="C71" s="38" t="s">
        <v>166</v>
      </c>
      <c r="D71" s="38" t="s">
        <v>101</v>
      </c>
      <c r="E71" s="38" t="str">
        <f t="shared" ref="E71" si="26">CONCATENATE(C71,D71,$A$1)</f>
        <v>TRACTION (1-5 units)2.5 gal. bottlePeriod 1</v>
      </c>
      <c r="F71" s="38" t="str">
        <f t="shared" ref="F71" si="27">CONCATENATE(C71,D71,$A$2)</f>
        <v>TRACTION (1-5 units)2.5 gal. bottlePeriod 2</v>
      </c>
      <c r="G71" s="39">
        <v>20</v>
      </c>
      <c r="H71" s="39">
        <v>55</v>
      </c>
      <c r="I71" s="40"/>
      <c r="J71" s="41"/>
      <c r="K71" s="39">
        <v>17.5</v>
      </c>
      <c r="L71" s="40"/>
      <c r="M71" s="41"/>
    </row>
    <row r="72" spans="1:13" x14ac:dyDescent="0.2">
      <c r="A72" s="18">
        <v>10723225</v>
      </c>
      <c r="B72" s="37" t="s">
        <v>154</v>
      </c>
      <c r="C72" s="38" t="s">
        <v>167</v>
      </c>
      <c r="D72" s="38" t="s">
        <v>101</v>
      </c>
      <c r="E72" s="38" t="str">
        <f t="shared" si="2"/>
        <v>TRACTION (6+ units)2.5 gal. bottlePeriod 1</v>
      </c>
      <c r="F72" s="38" t="str">
        <f t="shared" si="3"/>
        <v>TRACTION (6+ units)2.5 gal. bottlePeriod 2</v>
      </c>
      <c r="G72" s="39">
        <v>55</v>
      </c>
      <c r="H72" s="42"/>
      <c r="I72" s="40">
        <v>0</v>
      </c>
      <c r="J72" s="41">
        <f t="shared" si="18"/>
        <v>0</v>
      </c>
      <c r="K72" s="39">
        <v>17.5</v>
      </c>
      <c r="L72" s="40">
        <v>0</v>
      </c>
      <c r="M72" s="41">
        <f t="shared" si="19"/>
        <v>0</v>
      </c>
    </row>
    <row r="73" spans="1:13" s="2" customFormat="1" x14ac:dyDescent="0.2">
      <c r="A73" s="18"/>
      <c r="B73" s="1" t="s">
        <v>54</v>
      </c>
      <c r="C73" s="23" t="s">
        <v>54</v>
      </c>
      <c r="D73" s="24"/>
      <c r="E73" s="24" t="str">
        <f t="shared" si="2"/>
        <v>Plant Growth RegulatorsPeriod 1</v>
      </c>
      <c r="F73" s="24" t="str">
        <f t="shared" si="3"/>
        <v>Plant Growth RegulatorsPeriod 2</v>
      </c>
      <c r="G73" s="29"/>
      <c r="H73" s="10"/>
      <c r="I73" s="7"/>
      <c r="J73" s="4"/>
      <c r="K73" s="29"/>
      <c r="L73" s="7"/>
      <c r="M73" s="4"/>
    </row>
    <row r="74" spans="1:13" x14ac:dyDescent="0.2">
      <c r="A74" s="18">
        <v>10571443</v>
      </c>
      <c r="B74" s="37" t="s">
        <v>149</v>
      </c>
      <c r="C74" s="38" t="s">
        <v>168</v>
      </c>
      <c r="D74" s="38" t="s">
        <v>121</v>
      </c>
      <c r="E74" s="38" t="str">
        <f t="shared" si="2"/>
        <v>ANUEW (1 - 31 units)1.5 lb. bagPeriod 1</v>
      </c>
      <c r="F74" s="38" t="str">
        <f t="shared" si="3"/>
        <v>ANUEW (1 - 31 units)1.5 lb. bagPeriod 2</v>
      </c>
      <c r="G74" s="39">
        <v>8</v>
      </c>
      <c r="H74" s="39">
        <v>21</v>
      </c>
      <c r="I74" s="40"/>
      <c r="J74" s="41">
        <f>G74*I74</f>
        <v>0</v>
      </c>
      <c r="K74" s="39">
        <v>4</v>
      </c>
      <c r="L74" s="40">
        <v>0</v>
      </c>
      <c r="M74" s="41">
        <f t="shared" ref="M74:M78" si="28">K74*L74</f>
        <v>0</v>
      </c>
    </row>
    <row r="75" spans="1:13" x14ac:dyDescent="0.2">
      <c r="A75" s="18">
        <v>10571443</v>
      </c>
      <c r="B75" s="37" t="s">
        <v>150</v>
      </c>
      <c r="C75" s="38" t="s">
        <v>169</v>
      </c>
      <c r="D75" s="38" t="s">
        <v>121</v>
      </c>
      <c r="E75" s="38" t="str">
        <f t="shared" ref="E75" si="29">CONCATENATE(C75,D75,$A$1)</f>
        <v>ANUEW (32+ units)1.5 lb. bagPeriod 1</v>
      </c>
      <c r="F75" s="38" t="str">
        <f t="shared" ref="F75" si="30">CONCATENATE(C75,D75,$A$2)</f>
        <v>ANUEW (32+ units)1.5 lb. bagPeriod 2</v>
      </c>
      <c r="G75" s="39">
        <v>21</v>
      </c>
      <c r="H75" s="39"/>
      <c r="I75" s="40"/>
      <c r="J75" s="41"/>
      <c r="K75" s="39">
        <v>4</v>
      </c>
      <c r="L75" s="40"/>
      <c r="M75" s="41"/>
    </row>
    <row r="76" spans="1:13" x14ac:dyDescent="0.2">
      <c r="A76" s="18">
        <v>10590414</v>
      </c>
      <c r="B76" s="3" t="s">
        <v>55</v>
      </c>
      <c r="C76" s="24" t="s">
        <v>84</v>
      </c>
      <c r="D76" s="24" t="s">
        <v>122</v>
      </c>
      <c r="E76" s="24" t="str">
        <f t="shared" si="2"/>
        <v>FASCINATION0.5 gal. bottlePeriod 1</v>
      </c>
      <c r="F76" s="24" t="str">
        <f t="shared" si="3"/>
        <v>FASCINATION0.5 gal. bottlePeriod 2</v>
      </c>
      <c r="G76" s="28">
        <v>8</v>
      </c>
      <c r="H76" s="8">
        <v>0</v>
      </c>
      <c r="I76" s="8">
        <v>0</v>
      </c>
      <c r="J76" s="4">
        <f>G76*I76</f>
        <v>0</v>
      </c>
      <c r="K76" s="28">
        <v>4</v>
      </c>
      <c r="L76" s="8">
        <v>0</v>
      </c>
      <c r="M76" s="4">
        <f t="shared" si="28"/>
        <v>0</v>
      </c>
    </row>
    <row r="77" spans="1:13" x14ac:dyDescent="0.2">
      <c r="A77" s="18">
        <v>10596041</v>
      </c>
      <c r="B77" s="3" t="s">
        <v>56</v>
      </c>
      <c r="C77" s="24" t="s">
        <v>88</v>
      </c>
      <c r="D77" s="24" t="s">
        <v>116</v>
      </c>
      <c r="E77" s="24" t="str">
        <f t="shared" si="2"/>
        <v>SUMAGIC1 gal. bottlePeriod 1</v>
      </c>
      <c r="F77" s="24" t="str">
        <f t="shared" si="3"/>
        <v>SUMAGIC1 gal. bottlePeriod 2</v>
      </c>
      <c r="G77" s="28">
        <v>10</v>
      </c>
      <c r="H77" s="8">
        <v>0</v>
      </c>
      <c r="I77" s="8">
        <v>0</v>
      </c>
      <c r="J77" s="4">
        <f>G77*I77</f>
        <v>0</v>
      </c>
      <c r="K77" s="28">
        <v>5</v>
      </c>
      <c r="L77" s="8">
        <v>0</v>
      </c>
      <c r="M77" s="4">
        <f t="shared" si="28"/>
        <v>0</v>
      </c>
    </row>
    <row r="78" spans="1:13" x14ac:dyDescent="0.2">
      <c r="A78" s="18">
        <v>10596515</v>
      </c>
      <c r="B78" s="3" t="s">
        <v>57</v>
      </c>
      <c r="C78" s="24" t="s">
        <v>88</v>
      </c>
      <c r="D78" s="24" t="s">
        <v>123</v>
      </c>
      <c r="E78" s="24" t="str">
        <f t="shared" si="2"/>
        <v>SUMAGIC15 gal. drumPeriod 1</v>
      </c>
      <c r="F78" s="24" t="str">
        <f t="shared" si="3"/>
        <v>SUMAGIC15 gal. drumPeriod 2</v>
      </c>
      <c r="G78" s="28">
        <v>150</v>
      </c>
      <c r="H78" s="8">
        <v>0</v>
      </c>
      <c r="I78" s="8">
        <v>0</v>
      </c>
      <c r="J78" s="4">
        <f>G78*I78</f>
        <v>0</v>
      </c>
      <c r="K78" s="28">
        <v>75</v>
      </c>
      <c r="L78" s="8">
        <v>0</v>
      </c>
      <c r="M78" s="4">
        <f t="shared" si="28"/>
        <v>0</v>
      </c>
    </row>
    <row r="79" spans="1:13" x14ac:dyDescent="0.2">
      <c r="J79" s="6"/>
    </row>
    <row r="80" spans="1:13" ht="17.399999999999999" x14ac:dyDescent="0.3">
      <c r="I80" s="246"/>
      <c r="J80" s="246"/>
      <c r="K80" s="247"/>
      <c r="L80" s="247"/>
    </row>
    <row r="81" spans="1:12" x14ac:dyDescent="0.2">
      <c r="I81" s="33"/>
      <c r="J81" s="34"/>
      <c r="K81" s="35"/>
      <c r="L81" s="31"/>
    </row>
    <row r="83" spans="1:12" x14ac:dyDescent="0.2">
      <c r="A83" s="16"/>
      <c r="B83" s="16"/>
      <c r="C83" s="25"/>
      <c r="D83" s="25"/>
      <c r="E83" s="25"/>
      <c r="F83" s="25"/>
      <c r="I83" s="11"/>
      <c r="J83" s="11"/>
    </row>
    <row r="84" spans="1:12" x14ac:dyDescent="0.2">
      <c r="A84" s="15"/>
      <c r="B84" s="15"/>
      <c r="C84" s="26"/>
      <c r="D84" s="26"/>
      <c r="E84" s="26"/>
      <c r="F84" s="26"/>
    </row>
  </sheetData>
  <mergeCells count="2">
    <mergeCell ref="I80:J80"/>
    <mergeCell ref="K80:L80"/>
  </mergeCells>
  <phoneticPr fontId="6" type="noConversion"/>
  <pageMargins left="0.25" right="0.25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56B16C1A50E74F83AB1A44480E6557" ma:contentTypeVersion="10" ma:contentTypeDescription="Create a new document." ma:contentTypeScope="" ma:versionID="152a897392477f249a8cf6ebc4aeeb26">
  <xsd:schema xmlns:xsd="http://www.w3.org/2001/XMLSchema" xmlns:xs="http://www.w3.org/2001/XMLSchema" xmlns:p="http://schemas.microsoft.com/office/2006/metadata/properties" xmlns:ns2="f60705fc-725d-44ea-9e1c-003cde6a78fb" xmlns:ns3="3f95aea1-b90a-4932-a509-b7a2e2687b8c" targetNamespace="http://schemas.microsoft.com/office/2006/metadata/properties" ma:root="true" ma:fieldsID="c4c42aa97a0f00ccb81ee9c4ea61279d" ns2:_="" ns3:_="">
    <xsd:import namespace="f60705fc-725d-44ea-9e1c-003cde6a78fb"/>
    <xsd:import namespace="3f95aea1-b90a-4932-a509-b7a2e2687b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0705fc-725d-44ea-9e1c-003cde6a78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5aea1-b90a-4932-a509-b7a2e2687b8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2DCD16-90C6-40FC-8BC3-42CC3DF47E1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DBDC42-D7E3-4D70-91F3-1AB08709DE33}">
  <ds:schemaRefs>
    <ds:schemaRef ds:uri="http://purl.org/dc/elements/1.1/"/>
    <ds:schemaRef ds:uri="http://schemas.microsoft.com/office/2006/metadata/properties"/>
    <ds:schemaRef ds:uri="http://purl.org/dc/terms/"/>
    <ds:schemaRef ds:uri="3f95aea1-b90a-4932-a509-b7a2e2687b8c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f60705fc-725d-44ea-9e1c-003cde6a78f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13AA687-37B1-4E91-A36E-65BAB66AB5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0705fc-725d-44ea-9e1c-003cde6a78fb"/>
    <ds:schemaRef ds:uri="3f95aea1-b90a-4932-a509-b7a2e2687b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Nufarm Edge Rewards Calculator</vt:lpstr>
      <vt:lpstr>Rebate Reference Table</vt:lpstr>
      <vt:lpstr>'Nufarm Edge Rewards Calculator'!Print_Area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Dave Biegacki</dc:creator>
  <cp:keywords/>
  <dc:description/>
  <cp:lastModifiedBy>Todd Birchler</cp:lastModifiedBy>
  <cp:revision/>
  <cp:lastPrinted>2022-06-27T13:22:51Z</cp:lastPrinted>
  <dcterms:created xsi:type="dcterms:W3CDTF">2019-08-21T15:42:09Z</dcterms:created>
  <dcterms:modified xsi:type="dcterms:W3CDTF">2022-08-25T13:34:58Z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0x0101007356B16C1A50E74F83AB1A44480E6557</vt:lpwstr>
  </property>
</Properties>
</file>